
<file path=[Content_Types].xml><?xml version="1.0" encoding="utf-8"?>
<Types xmlns="http://schemas.openxmlformats.org/package/2006/content-types">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drawings/drawing2.xml" ContentType="application/vnd.openxmlformats-officedocument.drawing+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xl/charts/chart2.xml" ContentType="application/vnd.openxmlformats-officedocument.drawingml.char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9600" windowHeight="20300" tabRatio="500"/>
  </bookViews>
  <sheets>
    <sheet name="Input Parameters" sheetId="2" r:id="rId1"/>
    <sheet name="Intermediate Calculations" sheetId="3" r:id="rId2"/>
    <sheet name="FRA Noise Model Parameters" sheetId="1" r:id="rId3"/>
    <sheet name="FRA Noise Impact Criteria" sheetId="4" r:id="rId4"/>
    <sheet name="Plot Data" sheetId="5" r:id="rId5"/>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53" i="4"/>
  <c r="B7"/>
  <c r="D7"/>
  <c r="C7"/>
  <c r="E7"/>
  <c r="B8"/>
  <c r="D8"/>
  <c r="C8"/>
  <c r="E8"/>
  <c r="B9"/>
  <c r="D9"/>
  <c r="C9"/>
  <c r="E9"/>
  <c r="B10"/>
  <c r="D10"/>
  <c r="C10"/>
  <c r="E10"/>
  <c r="B11"/>
  <c r="D11"/>
  <c r="C11"/>
  <c r="E11"/>
  <c r="B12"/>
  <c r="D12"/>
  <c r="C12"/>
  <c r="E12"/>
  <c r="B13"/>
  <c r="D13"/>
  <c r="C13"/>
  <c r="E13"/>
  <c r="B14"/>
  <c r="D14"/>
  <c r="C14"/>
  <c r="E14"/>
  <c r="B15"/>
  <c r="D15"/>
  <c r="C15"/>
  <c r="E15"/>
  <c r="B16"/>
  <c r="D16"/>
  <c r="C16"/>
  <c r="E16"/>
  <c r="B17"/>
  <c r="D17"/>
  <c r="C17"/>
  <c r="E17"/>
  <c r="B18"/>
  <c r="D18"/>
  <c r="C18"/>
  <c r="E18"/>
  <c r="B19"/>
  <c r="D19"/>
  <c r="C19"/>
  <c r="E19"/>
  <c r="B20"/>
  <c r="D20"/>
  <c r="C20"/>
  <c r="E20"/>
  <c r="B21"/>
  <c r="D21"/>
  <c r="C21"/>
  <c r="E21"/>
  <c r="B22"/>
  <c r="D22"/>
  <c r="C22"/>
  <c r="E22"/>
  <c r="B23"/>
  <c r="D23"/>
  <c r="C23"/>
  <c r="E23"/>
  <c r="B24"/>
  <c r="D24"/>
  <c r="C24"/>
  <c r="E24"/>
  <c r="B25"/>
  <c r="D25"/>
  <c r="C25"/>
  <c r="E25"/>
  <c r="B26"/>
  <c r="D26"/>
  <c r="C26"/>
  <c r="E26"/>
  <c r="B27"/>
  <c r="D27"/>
  <c r="C27"/>
  <c r="E27"/>
  <c r="B28"/>
  <c r="D28"/>
  <c r="C28"/>
  <c r="E28"/>
  <c r="B29"/>
  <c r="D29"/>
  <c r="C29"/>
  <c r="E29"/>
  <c r="B30"/>
  <c r="D30"/>
  <c r="C30"/>
  <c r="E30"/>
  <c r="B31"/>
  <c r="D31"/>
  <c r="C31"/>
  <c r="E31"/>
  <c r="B32"/>
  <c r="D32"/>
  <c r="C32"/>
  <c r="E32"/>
  <c r="B33"/>
  <c r="D33"/>
  <c r="C33"/>
  <c r="E33"/>
  <c r="B34"/>
  <c r="D34"/>
  <c r="C34"/>
  <c r="E34"/>
  <c r="B35"/>
  <c r="D35"/>
  <c r="C35"/>
  <c r="E35"/>
  <c r="B36"/>
  <c r="D36"/>
  <c r="C36"/>
  <c r="E36"/>
  <c r="B37"/>
  <c r="D37"/>
  <c r="C37"/>
  <c r="E37"/>
  <c r="B38"/>
  <c r="D38"/>
  <c r="C38"/>
  <c r="E38"/>
  <c r="B39"/>
  <c r="D39"/>
  <c r="C39"/>
  <c r="E39"/>
  <c r="B40"/>
  <c r="D40"/>
  <c r="C40"/>
  <c r="E40"/>
  <c r="B41"/>
  <c r="D41"/>
  <c r="C41"/>
  <c r="E41"/>
  <c r="B42"/>
  <c r="D42"/>
  <c r="C42"/>
  <c r="E42"/>
  <c r="B43"/>
  <c r="D43"/>
  <c r="C43"/>
  <c r="E43"/>
  <c r="B44"/>
  <c r="D44"/>
  <c r="C44"/>
  <c r="E44"/>
  <c r="B45"/>
  <c r="D45"/>
  <c r="C45"/>
  <c r="E45"/>
  <c r="B46"/>
  <c r="D46"/>
  <c r="C46"/>
  <c r="E46"/>
  <c r="B47"/>
  <c r="D47"/>
  <c r="C47"/>
  <c r="E47"/>
  <c r="B48"/>
  <c r="D48"/>
  <c r="C48"/>
  <c r="E48"/>
  <c r="B49"/>
  <c r="D49"/>
  <c r="C49"/>
  <c r="E49"/>
  <c r="B50"/>
  <c r="D50"/>
  <c r="C50"/>
  <c r="E50"/>
  <c r="B51"/>
  <c r="D51"/>
  <c r="C51"/>
  <c r="E51"/>
  <c r="B52"/>
  <c r="D52"/>
  <c r="C52"/>
  <c r="E52"/>
  <c r="B53"/>
  <c r="D53"/>
  <c r="C53"/>
  <c r="E53"/>
  <c r="B54"/>
  <c r="D54"/>
  <c r="C54"/>
  <c r="E54"/>
  <c r="B55"/>
  <c r="D55"/>
  <c r="C55"/>
  <c r="E55"/>
  <c r="B56"/>
  <c r="D56"/>
  <c r="C56"/>
  <c r="E56"/>
  <c r="B57"/>
  <c r="D57"/>
  <c r="C57"/>
  <c r="E57"/>
  <c r="B58"/>
  <c r="D58"/>
  <c r="C58"/>
  <c r="E58"/>
  <c r="B59"/>
  <c r="D59"/>
  <c r="C59"/>
  <c r="E59"/>
  <c r="B60"/>
  <c r="D60"/>
  <c r="C60"/>
  <c r="E60"/>
  <c r="B61"/>
  <c r="D61"/>
  <c r="C61"/>
  <c r="E61"/>
  <c r="B62"/>
  <c r="D62"/>
  <c r="C62"/>
  <c r="E62"/>
  <c r="B63"/>
  <c r="D63"/>
  <c r="C63"/>
  <c r="E63"/>
  <c r="B64"/>
  <c r="D64"/>
  <c r="C64"/>
  <c r="E64"/>
  <c r="B65"/>
  <c r="D65"/>
  <c r="C65"/>
  <c r="E65"/>
  <c r="B66"/>
  <c r="D66"/>
  <c r="C66"/>
  <c r="E66"/>
  <c r="B67"/>
  <c r="D67"/>
  <c r="C67"/>
  <c r="E67"/>
  <c r="B68"/>
  <c r="D68"/>
  <c r="C68"/>
  <c r="E68"/>
  <c r="B69"/>
  <c r="D69"/>
  <c r="C69"/>
  <c r="E69"/>
  <c r="B70"/>
  <c r="D70"/>
  <c r="C70"/>
  <c r="E70"/>
  <c r="B71"/>
  <c r="D71"/>
  <c r="C71"/>
  <c r="E71"/>
  <c r="B72"/>
  <c r="D72"/>
  <c r="C72"/>
  <c r="E72"/>
  <c r="B73"/>
  <c r="D73"/>
  <c r="C73"/>
  <c r="E73"/>
  <c r="B74"/>
  <c r="D74"/>
  <c r="C74"/>
  <c r="E74"/>
  <c r="B75"/>
  <c r="D75"/>
  <c r="C75"/>
  <c r="E75"/>
  <c r="B76"/>
  <c r="D76"/>
  <c r="C76"/>
  <c r="E76"/>
  <c r="B77"/>
  <c r="D77"/>
  <c r="C77"/>
  <c r="E77"/>
  <c r="B78"/>
  <c r="D78"/>
  <c r="C78"/>
  <c r="E78"/>
  <c r="B79"/>
  <c r="D79"/>
  <c r="C79"/>
  <c r="E79"/>
  <c r="B80"/>
  <c r="D80"/>
  <c r="C80"/>
  <c r="E80"/>
  <c r="B81"/>
  <c r="D81"/>
  <c r="C81"/>
  <c r="E81"/>
  <c r="B82"/>
  <c r="D82"/>
  <c r="C82"/>
  <c r="E82"/>
  <c r="B83"/>
  <c r="D83"/>
  <c r="C83"/>
  <c r="E83"/>
  <c r="B84"/>
  <c r="D84"/>
  <c r="C84"/>
  <c r="E84"/>
  <c r="B85"/>
  <c r="D85"/>
  <c r="C85"/>
  <c r="E85"/>
  <c r="B86"/>
  <c r="D86"/>
  <c r="C86"/>
  <c r="E86"/>
  <c r="C6"/>
  <c r="E6"/>
  <c r="B6"/>
  <c r="D6"/>
  <c r="B20" i="2"/>
  <c r="B31"/>
  <c r="I36"/>
  <c r="I37"/>
  <c r="I38"/>
  <c r="H36"/>
  <c r="H37"/>
  <c r="H38"/>
  <c r="H39"/>
  <c r="C3" i="3"/>
  <c r="C4"/>
  <c r="C5"/>
  <c r="C16"/>
  <c r="C6"/>
  <c r="C7"/>
  <c r="C9"/>
  <c r="C8"/>
  <c r="C11"/>
  <c r="C10"/>
  <c r="C13"/>
  <c r="C20"/>
  <c r="C26"/>
  <c r="C31"/>
  <c r="C32"/>
  <c r="C33"/>
  <c r="C36"/>
  <c r="D3"/>
  <c r="D4"/>
  <c r="D5"/>
  <c r="D16"/>
  <c r="D6"/>
  <c r="D7"/>
  <c r="D9"/>
  <c r="D8"/>
  <c r="D11"/>
  <c r="D10"/>
  <c r="D13"/>
  <c r="D20"/>
  <c r="D26"/>
  <c r="D31"/>
  <c r="D32"/>
  <c r="D33"/>
  <c r="D36"/>
  <c r="B3"/>
  <c r="B4"/>
  <c r="B5"/>
  <c r="B6"/>
  <c r="B7"/>
  <c r="B9"/>
  <c r="B8"/>
  <c r="B11"/>
  <c r="B10"/>
  <c r="B13"/>
  <c r="B16"/>
  <c r="B20"/>
  <c r="B26"/>
  <c r="B31"/>
  <c r="B32"/>
  <c r="B33"/>
  <c r="B36"/>
  <c r="B42"/>
  <c r="C21"/>
  <c r="C27"/>
  <c r="C37"/>
  <c r="D21"/>
  <c r="D27"/>
  <c r="D37"/>
  <c r="B21"/>
  <c r="B27"/>
  <c r="B37"/>
  <c r="B43"/>
  <c r="C22"/>
  <c r="C28"/>
  <c r="C38"/>
  <c r="D22"/>
  <c r="D28"/>
  <c r="D38"/>
  <c r="B22"/>
  <c r="B28"/>
  <c r="B38"/>
  <c r="B44"/>
  <c r="C19"/>
  <c r="C25"/>
  <c r="C35"/>
  <c r="D19"/>
  <c r="D25"/>
  <c r="D35"/>
  <c r="B19"/>
  <c r="B25"/>
  <c r="B35"/>
  <c r="B41"/>
  <c r="B47"/>
  <c r="E47"/>
  <c r="B50"/>
  <c r="B49"/>
  <c r="E49"/>
  <c r="E50"/>
  <c r="E48"/>
  <c r="B48"/>
  <c r="G3" i="5"/>
  <c r="G2"/>
  <c r="B12"/>
  <c r="C12"/>
  <c r="E3"/>
  <c r="F3"/>
  <c r="D3"/>
  <c r="C3"/>
  <c r="C4"/>
  <c r="C5"/>
  <c r="C6"/>
  <c r="C7"/>
  <c r="C8"/>
  <c r="C9"/>
  <c r="C10"/>
  <c r="C11"/>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2"/>
  <c r="B3"/>
  <c r="B4"/>
  <c r="B5"/>
  <c r="B6"/>
  <c r="B7"/>
  <c r="B8"/>
  <c r="B9"/>
  <c r="B10"/>
  <c r="B11"/>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2"/>
</calcChain>
</file>

<file path=xl/sharedStrings.xml><?xml version="1.0" encoding="utf-8"?>
<sst xmlns="http://schemas.openxmlformats.org/spreadsheetml/2006/main" count="320" uniqueCount="225">
  <si>
    <t>Downtown City</t>
    <phoneticPr fontId="7" type="noConversion"/>
  </si>
  <si>
    <t>Source: FRA Horn Noise Q&amp;A - http://www.fra.dot.gov/Pages/1173.shtml</t>
    <phoneticPr fontId="7" type="noConversion"/>
  </si>
  <si>
    <t>Ldn values for typical environments</t>
    <phoneticPr fontId="7" type="noConversion"/>
  </si>
  <si>
    <t>Federal Railroad Administration / Office of Railroad Development - October 2005</t>
    <phoneticPr fontId="7" type="noConversion"/>
  </si>
  <si>
    <t>TRAIN NOISE IMPACT CALCULATOR</t>
    <phoneticPr fontId="7" type="noConversion"/>
  </si>
  <si>
    <r>
      <t>Important Disclaimer</t>
    </r>
    <r>
      <rPr>
        <sz val="10"/>
        <rFont val="Verdana"/>
      </rPr>
      <t xml:space="preserve">: This spreadsheet implements a simplified noise model as recommended by the FRA.  A proper impact assessment must be based on </t>
    </r>
    <r>
      <rPr>
        <u/>
        <sz val="10"/>
        <rFont val="Verdana"/>
      </rPr>
      <t>measured</t>
    </r>
    <r>
      <rPr>
        <sz val="10"/>
        <rFont val="Verdana"/>
      </rPr>
      <t xml:space="preserve"> local conditions.</t>
    </r>
    <phoneticPr fontId="7" type="noConversion"/>
  </si>
  <si>
    <t>Institutional land uses with primarily daytime and evening use. This category includes schools, libraries, and churches, where it is important to avoid interference with such activities as speech, meditation, and concentration on reading material. Buildings with interior spaces where quiet is important, such as medical offices, conference rooms, recording studios and concert halls fall into this category, as well as places for meditation or study associated with cemeteries, monuments, and museums. Certain historical sites, parks and recreational facilities are also included.</t>
  </si>
  <si>
    <t>Existing Noise Exposure</t>
    <phoneticPr fontId="7" type="noConversion"/>
  </si>
  <si>
    <t>Project Noise Exposure</t>
    <phoneticPr fontId="7" type="noConversion"/>
  </si>
  <si>
    <t>1st row provides 3dB of attenuation</t>
    <phoneticPr fontId="7" type="noConversion"/>
  </si>
  <si>
    <t>Property Use</t>
    <phoneticPr fontId="7" type="noConversion"/>
  </si>
  <si>
    <t>Allowable Choices (selected above using blue inputs)</t>
    <phoneticPr fontId="7" type="noConversion"/>
  </si>
  <si>
    <t>Source: High-Speed Ground Transportation Noise and Vibration Impact Assessment</t>
  </si>
  <si>
    <t>Residences and buildings where people normally sleep. This category includes homes, hospitals, and hotels where a nighttime sensitivity to noise is assumed to be of utmost importance.</t>
  </si>
  <si>
    <t>Diesel</t>
  </si>
  <si>
    <t>Parameter</t>
    <phoneticPr fontId="7" type="noConversion"/>
  </si>
  <si>
    <t>Removed Type</t>
    <phoneticPr fontId="7" type="noConversion"/>
  </si>
  <si>
    <t>Added Type 1</t>
    <phoneticPr fontId="7" type="noConversion"/>
  </si>
  <si>
    <t>Added Type 2</t>
    <phoneticPr fontId="7" type="noConversion"/>
  </si>
  <si>
    <t>Unit</t>
    <phoneticPr fontId="7" type="noConversion"/>
  </si>
  <si>
    <t>Comments</t>
    <phoneticPr fontId="7" type="noConversion"/>
  </si>
  <si>
    <t>Calculate SEL from a single pass-by</t>
    <phoneticPr fontId="7" type="noConversion"/>
  </si>
  <si>
    <t>Calculate Shielding Correction (Table 4-4)</t>
    <phoneticPr fontId="7" type="noConversion"/>
  </si>
  <si>
    <t>Calculate Leq and Ldn at 50 feet</t>
    <phoneticPr fontId="7" type="noConversion"/>
  </si>
  <si>
    <t>Adjust for the distance to the receiver</t>
    <phoneticPr fontId="7" type="noConversion"/>
  </si>
  <si>
    <t>Hourly Leq at receiver</t>
    <phoneticPr fontId="7" type="noConversion"/>
  </si>
  <si>
    <t>Daytime Leq at receiver</t>
    <phoneticPr fontId="7" type="noConversion"/>
  </si>
  <si>
    <t>Nighttime Leq at receiver</t>
    <phoneticPr fontId="7" type="noConversion"/>
  </si>
  <si>
    <t>Ldn at receiver</t>
    <phoneticPr fontId="7" type="noConversion"/>
  </si>
  <si>
    <t>per section 4.2.3</t>
    <phoneticPr fontId="7" type="noConversion"/>
  </si>
  <si>
    <t>Adjust for shielding from intervening rows of buildings</t>
    <phoneticPr fontId="7" type="noConversion"/>
  </si>
  <si>
    <t>Shielding from first row</t>
    <phoneticPr fontId="7" type="noConversion"/>
  </si>
  <si>
    <t>dBA</t>
    <phoneticPr fontId="7" type="noConversion"/>
  </si>
  <si>
    <t>Shielding from further rows</t>
    <phoneticPr fontId="7" type="noConversion"/>
  </si>
  <si>
    <t>dBA</t>
    <phoneticPr fontId="7" type="noConversion"/>
  </si>
  <si>
    <t>rows</t>
    <phoneticPr fontId="7" type="noConversion"/>
  </si>
  <si>
    <t>Total attenuation</t>
    <phoneticPr fontId="7" type="noConversion"/>
  </si>
  <si>
    <t>Shielded hourly Leq at rx</t>
    <phoneticPr fontId="7" type="noConversion"/>
  </si>
  <si>
    <t>Shielded daytime Leq at rx</t>
    <phoneticPr fontId="7" type="noConversion"/>
  </si>
  <si>
    <t>Shielded nighttime Leq at rx</t>
    <phoneticPr fontId="7" type="noConversion"/>
  </si>
  <si>
    <t>Shielded Ldn at rx</t>
    <phoneticPr fontId="7" type="noConversion"/>
  </si>
  <si>
    <t>SELref</t>
    <phoneticPr fontId="7" type="noConversion"/>
  </si>
  <si>
    <t>Sref</t>
    <phoneticPr fontId="7" type="noConversion"/>
  </si>
  <si>
    <t>lenref</t>
    <phoneticPr fontId="7" type="noConversion"/>
  </si>
  <si>
    <t>Project Sound Exposure:</t>
    <phoneticPr fontId="7" type="noConversion"/>
  </si>
  <si>
    <t>Combined Sound Exposure:</t>
    <phoneticPr fontId="7" type="noConversion"/>
  </si>
  <si>
    <t>NOISE IMPACT:</t>
    <phoneticPr fontId="7" type="noConversion"/>
  </si>
  <si>
    <t>Existing Sound Exposure:</t>
    <phoneticPr fontId="7" type="noConversion"/>
  </si>
  <si>
    <t>INPUTS</t>
    <phoneticPr fontId="7" type="noConversion"/>
  </si>
  <si>
    <t>OUTPUTS</t>
    <phoneticPr fontId="7" type="noConversion"/>
  </si>
  <si>
    <t>Existing Noise Environment</t>
    <phoneticPr fontId="7" type="noConversion"/>
  </si>
  <si>
    <t>Berm</t>
  </si>
  <si>
    <t>Don't guess, measure in Google Earth</t>
    <phoneticPr fontId="7" type="noConversion"/>
  </si>
  <si>
    <t>Rural Farm</t>
    <phoneticPr fontId="7" type="noConversion"/>
  </si>
  <si>
    <t>Quiet Suburban</t>
    <phoneticPr fontId="7" type="noConversion"/>
  </si>
  <si>
    <t>dBA (Ldn)</t>
    <phoneticPr fontId="7" type="noConversion"/>
  </si>
  <si>
    <t>Suburban</t>
    <phoneticPr fontId="7" type="noConversion"/>
  </si>
  <si>
    <t>Urban</t>
    <phoneticPr fontId="7" type="noConversion"/>
  </si>
  <si>
    <t>Suburban, within 1000 ft of crossing with horns</t>
    <phoneticPr fontId="7" type="noConversion"/>
  </si>
  <si>
    <t>Suburban, wtihin 500 ft of crossing with horns</t>
    <phoneticPr fontId="7" type="noConversion"/>
  </si>
  <si>
    <t>Suburban, within 100 ft of crossing with horns</t>
    <phoneticPr fontId="7" type="noConversion"/>
  </si>
  <si>
    <t>Noisy Urban</t>
    <phoneticPr fontId="7" type="noConversion"/>
  </si>
  <si>
    <t>Very Noisy Urban</t>
    <phoneticPr fontId="7" type="noConversion"/>
  </si>
  <si>
    <t>SELref</t>
    <phoneticPr fontId="7" type="noConversion"/>
  </si>
  <si>
    <t>K</t>
    <phoneticPr fontId="7" type="noConversion"/>
  </si>
  <si>
    <t>Speed Coefficient</t>
    <phoneticPr fontId="7" type="noConversion"/>
  </si>
  <si>
    <t>I</t>
    <phoneticPr fontId="7" type="noConversion"/>
  </si>
  <si>
    <t>II</t>
    <phoneticPr fontId="7" type="noConversion"/>
  </si>
  <si>
    <t>III</t>
    <phoneticPr fontId="7" type="noConversion"/>
  </si>
  <si>
    <t>I</t>
    <phoneticPr fontId="7" type="noConversion"/>
  </si>
  <si>
    <t>Reference Speed</t>
    <phoneticPr fontId="7" type="noConversion"/>
  </si>
  <si>
    <t>Sref</t>
    <phoneticPr fontId="7" type="noConversion"/>
  </si>
  <si>
    <t>III</t>
    <phoneticPr fontId="7" type="noConversion"/>
  </si>
  <si>
    <t>St1</t>
    <phoneticPr fontId="7" type="noConversion"/>
  </si>
  <si>
    <t>St2</t>
    <phoneticPr fontId="7" type="noConversion"/>
  </si>
  <si>
    <t>I -&gt; II</t>
    <phoneticPr fontId="7" type="noConversion"/>
  </si>
  <si>
    <t>II -&gt; III</t>
    <phoneticPr fontId="7" type="noConversion"/>
  </si>
  <si>
    <t>dBA</t>
    <phoneticPr fontId="7" type="noConversion"/>
  </si>
  <si>
    <t>N/A</t>
    <phoneticPr fontId="7" type="noConversion"/>
  </si>
  <si>
    <t>Reference Quantity</t>
    <phoneticPr fontId="7" type="noConversion"/>
  </si>
  <si>
    <t>Abbreviation</t>
    <phoneticPr fontId="7" type="noConversion"/>
  </si>
  <si>
    <t>Speed Regime</t>
    <phoneticPr fontId="7" type="noConversion"/>
  </si>
  <si>
    <t>Vehicle Type</t>
    <phoneticPr fontId="7" type="noConversion"/>
  </si>
  <si>
    <t>Unit</t>
    <phoneticPr fontId="7" type="noConversion"/>
  </si>
  <si>
    <t>Steel Wheeled</t>
    <phoneticPr fontId="7" type="noConversion"/>
  </si>
  <si>
    <t>Maglev</t>
    <phoneticPr fontId="7" type="noConversion"/>
  </si>
  <si>
    <t>Electric</t>
    <phoneticPr fontId="7" type="noConversion"/>
  </si>
  <si>
    <t>Diesel</t>
    <phoneticPr fontId="7" type="noConversion"/>
  </si>
  <si>
    <t>Source: High-Speed Ground Transportation Noise and Vibration Impact Assessment</t>
    <phoneticPr fontId="7" type="noConversion"/>
  </si>
  <si>
    <t>Federal Railroad Administration / Office of Railroad Development</t>
    <phoneticPr fontId="7" type="noConversion"/>
  </si>
  <si>
    <t>October 2005</t>
    <phoneticPr fontId="7" type="noConversion"/>
  </si>
  <si>
    <t>New Traffic (to be added)</t>
    <phoneticPr fontId="7" type="noConversion"/>
  </si>
  <si>
    <t>Traffic Type 2</t>
    <phoneticPr fontId="7" type="noConversion"/>
  </si>
  <si>
    <t>Traffic Type 1</t>
    <phoneticPr fontId="7" type="noConversion"/>
  </si>
  <si>
    <t>Existing Ambient Noise Environment</t>
    <phoneticPr fontId="7" type="noConversion"/>
  </si>
  <si>
    <t>Existing Leq(hr), if you know it</t>
    <phoneticPr fontId="7" type="noConversion"/>
  </si>
  <si>
    <t>2) Tracks in Deep Trench or Cut</t>
    <phoneticPr fontId="7" type="noConversion"/>
  </si>
  <si>
    <t>3) Tracks on Aerial Structure</t>
    <phoneticPr fontId="7" type="noConversion"/>
  </si>
  <si>
    <t>4) Tracks on Embankment</t>
    <phoneticPr fontId="7" type="noConversion"/>
  </si>
  <si>
    <t>5) Noise Barrier</t>
    <phoneticPr fontId="7" type="noConversion"/>
  </si>
  <si>
    <t>Case</t>
    <phoneticPr fontId="7" type="noConversion"/>
  </si>
  <si>
    <t>Speed Regime</t>
    <phoneticPr fontId="7" type="noConversion"/>
  </si>
  <si>
    <t>Cs</t>
    <phoneticPr fontId="7" type="noConversion"/>
  </si>
  <si>
    <t>Unit</t>
    <phoneticPr fontId="7" type="noConversion"/>
  </si>
  <si>
    <t>dBA</t>
    <phoneticPr fontId="7" type="noConversion"/>
  </si>
  <si>
    <t>dBA</t>
    <phoneticPr fontId="7" type="noConversion"/>
  </si>
  <si>
    <t>Cs</t>
    <phoneticPr fontId="7" type="noConversion"/>
  </si>
  <si>
    <t>Hourly Leq at 50 ft</t>
    <phoneticPr fontId="7" type="noConversion"/>
  </si>
  <si>
    <t>Daytime Leq at 50 ft</t>
    <phoneticPr fontId="7" type="noConversion"/>
  </si>
  <si>
    <t>per table 4-5 equation</t>
    <phoneticPr fontId="7" type="noConversion"/>
  </si>
  <si>
    <t>per table 4-5 equation.  V is twice the TPH to account for both directions.</t>
    <phoneticPr fontId="7" type="noConversion"/>
  </si>
  <si>
    <t>2nd - nth row provide 1.5dB per row up to a maximum total attenuation of 10dB</t>
    <phoneticPr fontId="7" type="noConversion"/>
  </si>
  <si>
    <t>Ldn is Day-Night Sound Level</t>
    <phoneticPr fontId="7" type="noConversion"/>
  </si>
  <si>
    <t>Leq(hr) is Hourly Equivalent Sound Level</t>
    <phoneticPr fontId="7" type="noConversion"/>
  </si>
  <si>
    <t>Existing Ldn, if you know it</t>
    <phoneticPr fontId="7" type="noConversion"/>
  </si>
  <si>
    <t>dBA</t>
    <phoneticPr fontId="7" type="noConversion"/>
  </si>
  <si>
    <t>Tracts of land where quiet is an essential element in their intended purpose. This category includes lands set aside for serenity and quiet, and such land uses as outdoor amphitheaters and concert pavilions, as well as National Historic Landmarks with significant outdoor use.</t>
  </si>
  <si>
    <t>Train Type</t>
    <phoneticPr fontId="7" type="noConversion"/>
  </si>
  <si>
    <t>Track Configuration</t>
    <phoneticPr fontId="7" type="noConversion"/>
  </si>
  <si>
    <t>Selected based on land use (Leq(hr) for Categories 1 and 3, Ldn for Category 2)</t>
    <phoneticPr fontId="7" type="noConversion"/>
  </si>
  <si>
    <t>Category 1: Outdoor Sensitive</t>
    <phoneticPr fontId="7" type="noConversion"/>
  </si>
  <si>
    <t>Category 2: Residential</t>
    <phoneticPr fontId="7" type="noConversion"/>
  </si>
  <si>
    <t>Category 3: Institutional</t>
    <phoneticPr fontId="7" type="noConversion"/>
  </si>
  <si>
    <t>Combine noise exposure from removal of one old train type and addition of two new train types</t>
    <phoneticPr fontId="7" type="noConversion"/>
  </si>
  <si>
    <t>Moderate Threshold</t>
    <phoneticPr fontId="7" type="noConversion"/>
  </si>
  <si>
    <t>Severe Threshold</t>
    <phoneticPr fontId="7" type="noConversion"/>
  </si>
  <si>
    <t>Selected based on land use (see Noise Impact Criteria… +5dB for Cat 3)</t>
    <phoneticPr fontId="7" type="noConversion"/>
  </si>
  <si>
    <t>Determine noise exposure thresholds (see Noise Impact Criteria tab)</t>
    <phoneticPr fontId="7" type="noConversion"/>
  </si>
  <si>
    <t>Existing Noise</t>
    <phoneticPr fontId="7" type="noConversion"/>
  </si>
  <si>
    <t>Moderate Threshold</t>
    <phoneticPr fontId="7" type="noConversion"/>
  </si>
  <si>
    <t>Severe Threshold</t>
    <phoneticPr fontId="7" type="noConversion"/>
  </si>
  <si>
    <t>No Impact</t>
    <phoneticPr fontId="7" type="noConversion"/>
  </si>
  <si>
    <t>Moderate Impact</t>
    <phoneticPr fontId="7" type="noConversion"/>
  </si>
  <si>
    <t>Severe Impact</t>
    <phoneticPr fontId="7" type="noConversion"/>
  </si>
  <si>
    <t>Project Impact</t>
    <phoneticPr fontId="7" type="noConversion"/>
  </si>
  <si>
    <t>Land Use Category</t>
    <phoneticPr fontId="7" type="noConversion"/>
  </si>
  <si>
    <t>Reference Parameters at 50 feet from Track / Guideway, from Table 4-3</t>
    <phoneticPr fontId="7" type="noConversion"/>
  </si>
  <si>
    <t>Shielding Corrections for Track Geometry, from Table 4-4</t>
    <phoneticPr fontId="7" type="noConversion"/>
  </si>
  <si>
    <t>I</t>
    <phoneticPr fontId="7" type="noConversion"/>
  </si>
  <si>
    <t>I</t>
    <phoneticPr fontId="7" type="noConversion"/>
  </si>
  <si>
    <t>II</t>
    <phoneticPr fontId="7" type="noConversion"/>
  </si>
  <si>
    <t>I</t>
    <phoneticPr fontId="7" type="noConversion"/>
  </si>
  <si>
    <t>1) Tracks in Shallow Cut</t>
    <phoneticPr fontId="7" type="noConversion"/>
  </si>
  <si>
    <t>ft</t>
    <phoneticPr fontId="7" type="noConversion"/>
  </si>
  <si>
    <t>Length of Train</t>
    <phoneticPr fontId="7" type="noConversion"/>
  </si>
  <si>
    <t>Length of Power Unit(s)</t>
    <phoneticPr fontId="7" type="noConversion"/>
  </si>
  <si>
    <t>Length of Leading Power Unit</t>
    <phoneticPr fontId="7" type="noConversion"/>
  </si>
  <si>
    <t>trains per day between 7 AM and 10 PM</t>
    <phoneticPr fontId="7" type="noConversion"/>
  </si>
  <si>
    <t>Night Time Trains</t>
    <phoneticPr fontId="7" type="noConversion"/>
  </si>
  <si>
    <t>Daytime Trains</t>
    <phoneticPr fontId="7" type="noConversion"/>
  </si>
  <si>
    <t>trains per night between 10 PM and 7 AM</t>
    <phoneticPr fontId="7" type="noConversion"/>
  </si>
  <si>
    <t>SEL at 50 ft</t>
    <phoneticPr fontId="7" type="noConversion"/>
  </si>
  <si>
    <t>Speed Regime</t>
    <phoneticPr fontId="7" type="noConversion"/>
  </si>
  <si>
    <t>Transition Speed 1 (St1)</t>
    <phoneticPr fontId="7" type="noConversion"/>
  </si>
  <si>
    <t>ft</t>
    <phoneticPr fontId="7" type="noConversion"/>
  </si>
  <si>
    <t>len</t>
    <phoneticPr fontId="7" type="noConversion"/>
  </si>
  <si>
    <t>Selected per Table 4-5, based on regime</t>
    <phoneticPr fontId="7" type="noConversion"/>
  </si>
  <si>
    <t>S</t>
    <phoneticPr fontId="7" type="noConversion"/>
  </si>
  <si>
    <t>mph</t>
    <phoneticPr fontId="7" type="noConversion"/>
  </si>
  <si>
    <t>Computed based on speed breakpoints</t>
    <phoneticPr fontId="7" type="noConversion"/>
  </si>
  <si>
    <t>dBA</t>
    <phoneticPr fontId="7" type="noConversion"/>
  </si>
  <si>
    <t>mph</t>
    <phoneticPr fontId="7" type="noConversion"/>
  </si>
  <si>
    <t>mph</t>
    <phoneticPr fontId="7" type="noConversion"/>
  </si>
  <si>
    <t>ft</t>
    <phoneticPr fontId="7" type="noConversion"/>
  </si>
  <si>
    <t>Existing Traffic (to be removed)</t>
    <phoneticPr fontId="7" type="noConversion"/>
  </si>
  <si>
    <t>Train Type</t>
    <phoneticPr fontId="7" type="noConversion"/>
  </si>
  <si>
    <t>Train Speed</t>
    <phoneticPr fontId="7" type="noConversion"/>
  </si>
  <si>
    <t>Peak Hour Frequency</t>
    <phoneticPr fontId="7" type="noConversion"/>
  </si>
  <si>
    <t>mph</t>
    <phoneticPr fontId="7" type="noConversion"/>
  </si>
  <si>
    <t>trains per hour per direction</t>
    <phoneticPr fontId="7" type="noConversion"/>
  </si>
  <si>
    <t>Unit</t>
    <phoneticPr fontId="7" type="noConversion"/>
  </si>
  <si>
    <t>Electric</t>
    <phoneticPr fontId="7" type="noConversion"/>
  </si>
  <si>
    <t>Diesel</t>
    <phoneticPr fontId="7" type="noConversion"/>
  </si>
  <si>
    <t>dBA</t>
    <phoneticPr fontId="7" type="noConversion"/>
  </si>
  <si>
    <t>Electric</t>
  </si>
  <si>
    <t>Maglev</t>
    <phoneticPr fontId="7" type="noConversion"/>
  </si>
  <si>
    <t>Reference SEL</t>
    <phoneticPr fontId="7" type="noConversion"/>
  </si>
  <si>
    <t>NOTE: if the user has not specified Leq(hr), we assume Leq(hr) = Ldn.</t>
    <phoneticPr fontId="7" type="noConversion"/>
  </si>
  <si>
    <t>Category 2: Residential</t>
  </si>
  <si>
    <r>
      <t xml:space="preserve">User inputs are colored </t>
    </r>
    <r>
      <rPr>
        <b/>
        <sz val="10"/>
        <color indexed="12"/>
        <rFont val="Verdana"/>
      </rPr>
      <t>BLUE</t>
    </r>
    <r>
      <rPr>
        <sz val="10"/>
        <rFont val="Verdana"/>
      </rPr>
      <t>.  Change other cells at your own risk.</t>
    </r>
    <phoneticPr fontId="7" type="noConversion"/>
  </si>
  <si>
    <t>Logarithmically add columns C and D, subtract B.  Use zero if B is louder than C&amp;D combined.</t>
    <phoneticPr fontId="7" type="noConversion"/>
  </si>
  <si>
    <t>Transition Speed 2 (St2)</t>
    <phoneticPr fontId="7" type="noConversion"/>
  </si>
  <si>
    <t>Existing Noise Exposure</t>
    <phoneticPr fontId="7" type="noConversion"/>
  </si>
  <si>
    <t>Project hourly Leq</t>
    <phoneticPr fontId="7" type="noConversion"/>
  </si>
  <si>
    <t>Project daytime Leq</t>
    <phoneticPr fontId="7" type="noConversion"/>
  </si>
  <si>
    <t>Project nighttime Leq</t>
    <phoneticPr fontId="7" type="noConversion"/>
  </si>
  <si>
    <t>Project Ldn</t>
    <phoneticPr fontId="7" type="noConversion"/>
  </si>
  <si>
    <t>Noise Impact Threshold Curves from Figure 3-1</t>
    <phoneticPr fontId="7" type="noConversion"/>
  </si>
  <si>
    <t>Cat 1&amp;2 Moderate</t>
    <phoneticPr fontId="7" type="noConversion"/>
  </si>
  <si>
    <t>Cat 3 Moderate</t>
    <phoneticPr fontId="7" type="noConversion"/>
  </si>
  <si>
    <t>Cat 3 Severe</t>
    <phoneticPr fontId="7" type="noConversion"/>
  </si>
  <si>
    <t>Cat 1&amp;2 Severe</t>
    <phoneticPr fontId="7" type="noConversion"/>
  </si>
  <si>
    <t>Reference Length</t>
    <phoneticPr fontId="7" type="noConversion"/>
  </si>
  <si>
    <t>lenref</t>
    <phoneticPr fontId="7" type="noConversion"/>
  </si>
  <si>
    <t>II</t>
    <phoneticPr fontId="7" type="noConversion"/>
  </si>
  <si>
    <t>Transition Speed</t>
    <phoneticPr fontId="7" type="noConversion"/>
  </si>
  <si>
    <t>Rural Farm (Ldn = 40 dBA)</t>
    <phoneticPr fontId="7" type="noConversion"/>
  </si>
  <si>
    <t>Quiet Suburban (Ldn = 50 dBA)</t>
    <phoneticPr fontId="7" type="noConversion"/>
  </si>
  <si>
    <t>Suburban (Ldn = 55 dBA)</t>
  </si>
  <si>
    <t>Suburban (Ldn = 55 dBA)</t>
    <phoneticPr fontId="7" type="noConversion"/>
  </si>
  <si>
    <t>Suburban, within 1000 ft of crossing with horns (Ldn = 60 dBA)</t>
    <phoneticPr fontId="7" type="noConversion"/>
  </si>
  <si>
    <t>Suburban, wtihin 500 ft of crossing with horns (Ldn = 65 dBA)</t>
    <phoneticPr fontId="7" type="noConversion"/>
  </si>
  <si>
    <t>Suburban, within 100 ft of crossing with horns (Ldn = 80 dBA)</t>
    <phoneticPr fontId="7" type="noConversion"/>
  </si>
  <si>
    <t>Urban (Ldn = 60 dBA)</t>
    <phoneticPr fontId="7" type="noConversion"/>
  </si>
  <si>
    <t>Noisy Urban (Ldn = 65 dBA)</t>
    <phoneticPr fontId="7" type="noConversion"/>
  </si>
  <si>
    <t>Very Noisy Urban (Ldn = 70 dBA)</t>
    <phoneticPr fontId="7" type="noConversion"/>
  </si>
  <si>
    <t>Downtown City (Ldn = 75 dBA)</t>
    <phoneticPr fontId="7" type="noConversion"/>
  </si>
  <si>
    <t>INDEX VALUE FROM INPUT MENU SELECTOR:</t>
    <phoneticPr fontId="7" type="noConversion"/>
  </si>
  <si>
    <t>Nighttime Leq at 50 ft</t>
    <phoneticPr fontId="7" type="noConversion"/>
  </si>
  <si>
    <t>Track Configuration</t>
    <phoneticPr fontId="7" type="noConversion"/>
  </si>
  <si>
    <t>per table 4-5 equation</t>
    <phoneticPr fontId="7" type="noConversion"/>
  </si>
  <si>
    <t>Ldn at 50 ft</t>
    <phoneticPr fontId="7" type="noConversion"/>
  </si>
  <si>
    <t>How many rows of buildings between you and tracks?</t>
    <phoneticPr fontId="7" type="noConversion"/>
  </si>
  <si>
    <t>How Far You Are From Tracks</t>
    <phoneticPr fontId="7" type="noConversion"/>
  </si>
  <si>
    <t>Where You Are Located</t>
    <phoneticPr fontId="7" type="noConversion"/>
  </si>
  <si>
    <t>Selected based on speed regime</t>
    <phoneticPr fontId="7" type="noConversion"/>
  </si>
  <si>
    <t>dBA</t>
    <phoneticPr fontId="7" type="noConversion"/>
  </si>
  <si>
    <t>for a single train pass-by</t>
    <phoneticPr fontId="7" type="noConversion"/>
  </si>
  <si>
    <t>Viaduct</t>
    <phoneticPr fontId="7" type="noConversion"/>
  </si>
  <si>
    <t>Berm</t>
    <phoneticPr fontId="7" type="noConversion"/>
  </si>
  <si>
    <t>Shallow Cut</t>
    <phoneticPr fontId="7" type="noConversion"/>
  </si>
  <si>
    <t>Deep Trench</t>
    <phoneticPr fontId="7" type="noConversion"/>
  </si>
  <si>
    <t>At Grade (With Noise Barrier)</t>
    <phoneticPr fontId="7" type="noConversion"/>
  </si>
  <si>
    <t>At Grade (No Noise Barrier)</t>
  </si>
  <si>
    <t>At Grade (No Noise Barrier)</t>
    <phoneticPr fontId="7" type="noConversion"/>
  </si>
</sst>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 numFmtId="169" formatCode="0.000"/>
    <numFmt numFmtId="170" formatCode="0.00000"/>
    <numFmt numFmtId="171" formatCode="0"/>
  </numFmts>
  <fonts count="15">
    <font>
      <sz val="10"/>
      <name val="Verdana"/>
    </font>
    <font>
      <b/>
      <sz val="10"/>
      <name val="Verdana"/>
    </font>
    <font>
      <i/>
      <sz val="10"/>
      <name val="Verdana"/>
    </font>
    <font>
      <sz val="10"/>
      <name val="Verdana"/>
    </font>
    <font>
      <b/>
      <sz val="10"/>
      <name val="Verdana"/>
    </font>
    <font>
      <i/>
      <sz val="10"/>
      <name val="Verdana"/>
    </font>
    <font>
      <b/>
      <sz val="10"/>
      <name val="Verdana"/>
    </font>
    <font>
      <sz val="8"/>
      <name val="Verdana"/>
    </font>
    <font>
      <b/>
      <sz val="10"/>
      <color indexed="12"/>
      <name val="Verdana"/>
    </font>
    <font>
      <u/>
      <sz val="10"/>
      <color indexed="12"/>
      <name val="Verdana"/>
    </font>
    <font>
      <b/>
      <sz val="14"/>
      <name val="Verdana"/>
    </font>
    <font>
      <b/>
      <sz val="10"/>
      <color indexed="10"/>
      <name val="Verdana"/>
    </font>
    <font>
      <u/>
      <sz val="10"/>
      <name val="Verdana"/>
    </font>
    <font>
      <b/>
      <sz val="12"/>
      <name val="Verdana"/>
    </font>
    <font>
      <sz val="12"/>
      <name val="Verdana"/>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67">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vertical="center"/>
    </xf>
    <xf numFmtId="0" fontId="6" fillId="2" borderId="1" xfId="0" applyFont="1" applyFill="1" applyBorder="1" applyAlignment="1">
      <alignment horizontal="center" vertical="center"/>
    </xf>
    <xf numFmtId="0" fontId="6" fillId="0" borderId="0" xfId="0" applyFont="1"/>
    <xf numFmtId="0" fontId="0" fillId="0" borderId="0" xfId="0" quotePrefix="1"/>
    <xf numFmtId="0" fontId="0" fillId="0" borderId="1" xfId="0" applyBorder="1" applyAlignment="1">
      <alignment horizontal="center"/>
    </xf>
    <xf numFmtId="1" fontId="0" fillId="0" borderId="0" xfId="0" applyNumberFormat="1"/>
    <xf numFmtId="0" fontId="0" fillId="0" borderId="1" xfId="0" applyFill="1" applyBorder="1" applyAlignment="1">
      <alignment horizontal="center" vertical="center"/>
    </xf>
    <xf numFmtId="0" fontId="6" fillId="2" borderId="1" xfId="0" applyFont="1" applyFill="1" applyBorder="1"/>
    <xf numFmtId="1" fontId="0" fillId="0" borderId="0" xfId="0" applyNumberFormat="1"/>
    <xf numFmtId="1" fontId="0" fillId="0" borderId="0" xfId="0" applyNumberFormat="1"/>
    <xf numFmtId="1" fontId="0" fillId="0" borderId="0" xfId="0" applyNumberFormat="1"/>
    <xf numFmtId="0" fontId="0" fillId="0" borderId="0" xfId="0" applyAlignment="1">
      <alignment wrapText="1"/>
    </xf>
    <xf numFmtId="0" fontId="4" fillId="0" borderId="0" xfId="0" applyFont="1"/>
    <xf numFmtId="0" fontId="5" fillId="0" borderId="0" xfId="0" applyFont="1"/>
    <xf numFmtId="0" fontId="4" fillId="0" borderId="0" xfId="0" applyFont="1" applyAlignment="1">
      <alignment wrapText="1"/>
    </xf>
    <xf numFmtId="1" fontId="0" fillId="0" borderId="0" xfId="0" applyNumberFormat="1"/>
    <xf numFmtId="1" fontId="0" fillId="0" borderId="0" xfId="0" applyNumberFormat="1"/>
    <xf numFmtId="0" fontId="0" fillId="0" borderId="0" xfId="0" applyAlignment="1">
      <alignment wrapText="1"/>
    </xf>
    <xf numFmtId="168" fontId="0" fillId="0" borderId="0" xfId="0" applyNumberFormat="1"/>
    <xf numFmtId="169" fontId="0" fillId="0" borderId="0" xfId="0" applyNumberFormat="1"/>
    <xf numFmtId="2" fontId="0" fillId="0" borderId="0" xfId="0" applyNumberFormat="1"/>
    <xf numFmtId="170" fontId="0" fillId="0" borderId="0" xfId="0" applyNumberFormat="1"/>
    <xf numFmtId="168" fontId="0" fillId="0" borderId="0" xfId="0" applyNumberFormat="1"/>
    <xf numFmtId="1" fontId="0" fillId="0" borderId="0" xfId="0" applyNumberFormat="1"/>
    <xf numFmtId="1" fontId="0" fillId="0" borderId="0" xfId="0" applyNumberFormat="1"/>
    <xf numFmtId="1" fontId="0" fillId="0" borderId="0" xfId="0" applyNumberFormat="1"/>
    <xf numFmtId="168" fontId="0" fillId="0" borderId="0" xfId="0" applyNumberFormat="1"/>
    <xf numFmtId="0" fontId="1" fillId="0" borderId="0" xfId="0" applyFont="1"/>
    <xf numFmtId="0" fontId="2" fillId="0" borderId="0" xfId="0" applyFont="1"/>
    <xf numFmtId="0" fontId="9" fillId="0" borderId="0" xfId="1" applyAlignment="1" applyProtection="1"/>
    <xf numFmtId="0" fontId="10" fillId="0" borderId="0" xfId="0" applyFont="1"/>
    <xf numFmtId="0" fontId="11" fillId="0" borderId="0" xfId="0" applyFont="1"/>
    <xf numFmtId="0" fontId="2" fillId="0" borderId="0" xfId="0" applyFont="1" applyAlignment="1">
      <alignment vertical="top"/>
    </xf>
    <xf numFmtId="0" fontId="0" fillId="0" borderId="0" xfId="0" applyAlignment="1">
      <alignment vertical="top"/>
    </xf>
    <xf numFmtId="0" fontId="6" fillId="0" borderId="2" xfId="0" applyFont="1" applyBorder="1"/>
    <xf numFmtId="0" fontId="0" fillId="0" borderId="0" xfId="0" applyBorder="1"/>
    <xf numFmtId="0" fontId="0" fillId="0" borderId="3" xfId="0" applyBorder="1"/>
    <xf numFmtId="0" fontId="0" fillId="0" borderId="2" xfId="0" applyBorder="1" applyAlignment="1">
      <alignment wrapText="1"/>
    </xf>
    <xf numFmtId="0" fontId="8" fillId="0" borderId="0" xfId="0" applyFont="1" applyBorder="1" applyAlignment="1">
      <alignment horizontal="left" wrapText="1"/>
    </xf>
    <xf numFmtId="0" fontId="0" fillId="0" borderId="0" xfId="0" applyBorder="1" applyAlignment="1">
      <alignment wrapText="1"/>
    </xf>
    <xf numFmtId="0" fontId="8" fillId="0" borderId="0" xfId="0" applyFont="1" applyBorder="1" applyAlignment="1"/>
    <xf numFmtId="0" fontId="8" fillId="0" borderId="0" xfId="0" applyFont="1" applyBorder="1" applyAlignment="1">
      <alignment wrapText="1"/>
    </xf>
    <xf numFmtId="0" fontId="0" fillId="0" borderId="2" xfId="0" applyBorder="1"/>
    <xf numFmtId="0" fontId="8" fillId="0" borderId="0" xfId="0" applyFont="1" applyBorder="1" applyAlignment="1">
      <alignment horizontal="left"/>
    </xf>
    <xf numFmtId="0" fontId="8" fillId="0" borderId="0" xfId="0" applyFont="1" applyBorder="1"/>
    <xf numFmtId="0" fontId="4" fillId="0" borderId="2" xfId="0" applyFont="1" applyBorder="1"/>
    <xf numFmtId="0" fontId="4" fillId="0" borderId="0" xfId="0" applyFont="1" applyBorder="1"/>
    <xf numFmtId="0" fontId="0" fillId="0" borderId="7" xfId="0" applyBorder="1"/>
    <xf numFmtId="0" fontId="0" fillId="0" borderId="9" xfId="0" applyBorder="1"/>
    <xf numFmtId="0" fontId="3" fillId="0" borderId="0" xfId="0" applyFont="1" applyBorder="1" applyAlignment="1">
      <alignment horizontal="right"/>
    </xf>
    <xf numFmtId="1" fontId="0" fillId="0" borderId="0" xfId="0" applyNumberFormat="1" applyBorder="1"/>
    <xf numFmtId="171" fontId="0" fillId="0" borderId="0" xfId="0" applyNumberFormat="1" applyBorder="1"/>
    <xf numFmtId="0" fontId="13" fillId="0" borderId="8" xfId="0" applyFont="1" applyBorder="1" applyAlignment="1">
      <alignment horizontal="right"/>
    </xf>
    <xf numFmtId="0" fontId="13" fillId="0" borderId="8" xfId="0" applyFont="1" applyBorder="1"/>
    <xf numFmtId="0" fontId="0" fillId="0" borderId="8" xfId="0" applyBorder="1"/>
    <xf numFmtId="17" fontId="14" fillId="2" borderId="4" xfId="0" applyNumberFormat="1" applyFont="1" applyFill="1" applyBorder="1" applyAlignment="1">
      <alignment horizontal="left" vertical="top"/>
    </xf>
    <xf numFmtId="0" fontId="0" fillId="2" borderId="5" xfId="0" applyFill="1" applyBorder="1"/>
    <xf numFmtId="0" fontId="0" fillId="2" borderId="6" xfId="0" applyFill="1" applyBorder="1"/>
    <xf numFmtId="0" fontId="14" fillId="2" borderId="4" xfId="0" applyFont="1" applyFill="1" applyBorder="1" applyAlignment="1">
      <alignment vertical="top"/>
    </xf>
    <xf numFmtId="0" fontId="0" fillId="0" borderId="0" xfId="0" applyAlignment="1">
      <alignment horizontal="left" vertical="top" wrapText="1"/>
    </xf>
    <xf numFmtId="0" fontId="6" fillId="2" borderId="1" xfId="0" applyFont="1" applyFill="1" applyBorder="1" applyAlignment="1">
      <alignment horizontal="center" vertical="center"/>
    </xf>
    <xf numFmtId="0" fontId="0" fillId="0" borderId="1" xfId="0" applyBorder="1" applyAlignment="1">
      <alignment vertical="center"/>
    </xf>
    <xf numFmtId="0" fontId="6" fillId="2" borderId="1" xfId="0" applyFont="1" applyFill="1" applyBorder="1" applyAlignment="1"/>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Noise Impact at Receiver</a:t>
            </a:r>
          </a:p>
        </c:rich>
      </c:tx>
      <c:layout/>
    </c:title>
    <c:plotArea>
      <c:layout/>
      <c:scatterChart>
        <c:scatterStyle val="lineMarker"/>
        <c:ser>
          <c:idx val="0"/>
          <c:order val="0"/>
          <c:tx>
            <c:strRef>
              <c:f>'Plot Data'!$B$1</c:f>
              <c:strCache>
                <c:ptCount val="1"/>
                <c:pt idx="0">
                  <c:v>Moderate Threshold</c:v>
                </c:pt>
              </c:strCache>
            </c:strRef>
          </c:tx>
          <c:spPr>
            <a:ln>
              <a:solidFill>
                <a:srgbClr val="FF6600"/>
              </a:solidFill>
            </a:ln>
          </c:spPr>
          <c:marker>
            <c:symbol val="none"/>
          </c:marker>
          <c:xVal>
            <c:numRef>
              <c:f>'Plot Data'!$A$2:$A$82</c:f>
              <c:numCache>
                <c:formatCode>0.0</c:formatCode>
                <c:ptCount val="8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numCache>
            </c:numRef>
          </c:xVal>
          <c:yVal>
            <c:numRef>
              <c:f>'Plot Data'!$B$2:$B$82</c:f>
              <c:numCache>
                <c:formatCode>0.0</c:formatCode>
                <c:ptCount val="81"/>
                <c:pt idx="0">
                  <c:v>49.57</c:v>
                </c:pt>
                <c:pt idx="1">
                  <c:v>50.0465</c:v>
                </c:pt>
                <c:pt idx="2">
                  <c:v>50.523</c:v>
                </c:pt>
                <c:pt idx="3">
                  <c:v>50.9995</c:v>
                </c:pt>
                <c:pt idx="4">
                  <c:v>51.49728256</c:v>
                </c:pt>
                <c:pt idx="5">
                  <c:v>51.56632125</c:v>
                </c:pt>
                <c:pt idx="6">
                  <c:v>51.64175384</c:v>
                </c:pt>
                <c:pt idx="7">
                  <c:v>51.72354967000001</c:v>
                </c:pt>
                <c:pt idx="8">
                  <c:v>51.81167808000001</c:v>
                </c:pt>
                <c:pt idx="9">
                  <c:v>51.90610841</c:v>
                </c:pt>
                <c:pt idx="10">
                  <c:v>52.00681000000001</c:v>
                </c:pt>
                <c:pt idx="11">
                  <c:v>52.11375219</c:v>
                </c:pt>
                <c:pt idx="12">
                  <c:v>52.22690432</c:v>
                </c:pt>
                <c:pt idx="13">
                  <c:v>52.34623573</c:v>
                </c:pt>
                <c:pt idx="14">
                  <c:v>52.47171576000001</c:v>
                </c:pt>
                <c:pt idx="15">
                  <c:v>52.60331375</c:v>
                </c:pt>
                <c:pt idx="16">
                  <c:v>52.74099904</c:v>
                </c:pt>
                <c:pt idx="17">
                  <c:v>52.88474097</c:v>
                </c:pt>
                <c:pt idx="18">
                  <c:v>53.03450888</c:v>
                </c:pt>
                <c:pt idx="19">
                  <c:v>53.19027211</c:v>
                </c:pt>
                <c:pt idx="20">
                  <c:v>53.352</c:v>
                </c:pt>
                <c:pt idx="21">
                  <c:v>53.51966189000001</c:v>
                </c:pt>
                <c:pt idx="22">
                  <c:v>53.69322712</c:v>
                </c:pt>
                <c:pt idx="23">
                  <c:v>53.87266503000001</c:v>
                </c:pt>
                <c:pt idx="24">
                  <c:v>54.05794496</c:v>
                </c:pt>
                <c:pt idx="25">
                  <c:v>54.24903625</c:v>
                </c:pt>
                <c:pt idx="26">
                  <c:v>54.44590824</c:v>
                </c:pt>
                <c:pt idx="27">
                  <c:v>54.64853027</c:v>
                </c:pt>
                <c:pt idx="28">
                  <c:v>54.85687168000001</c:v>
                </c:pt>
                <c:pt idx="29">
                  <c:v>55.07090181</c:v>
                </c:pt>
                <c:pt idx="30">
                  <c:v>55.29059</c:v>
                </c:pt>
                <c:pt idx="31">
                  <c:v>55.51590559</c:v>
                </c:pt>
                <c:pt idx="32">
                  <c:v>55.74681792000001</c:v>
                </c:pt>
                <c:pt idx="33">
                  <c:v>55.98329633000001</c:v>
                </c:pt>
                <c:pt idx="34">
                  <c:v>56.22531016</c:v>
                </c:pt>
                <c:pt idx="35">
                  <c:v>56.47282875000002</c:v>
                </c:pt>
                <c:pt idx="36">
                  <c:v>56.72582144</c:v>
                </c:pt>
                <c:pt idx="37">
                  <c:v>56.98425757000001</c:v>
                </c:pt>
                <c:pt idx="38">
                  <c:v>57.24810647999999</c:v>
                </c:pt>
                <c:pt idx="39">
                  <c:v>57.51733751</c:v>
                </c:pt>
                <c:pt idx="40">
                  <c:v>57.79192000000001</c:v>
                </c:pt>
                <c:pt idx="41">
                  <c:v>58.07182329000001</c:v>
                </c:pt>
                <c:pt idx="42">
                  <c:v>58.35701672</c:v>
                </c:pt>
                <c:pt idx="43">
                  <c:v>58.64746963000001</c:v>
                </c:pt>
                <c:pt idx="44">
                  <c:v>58.94315136000001</c:v>
                </c:pt>
                <c:pt idx="45">
                  <c:v>59.24403125000001</c:v>
                </c:pt>
                <c:pt idx="46">
                  <c:v>59.55007864000001</c:v>
                </c:pt>
                <c:pt idx="47">
                  <c:v>59.86126287</c:v>
                </c:pt>
                <c:pt idx="48">
                  <c:v>60.17755328</c:v>
                </c:pt>
                <c:pt idx="49">
                  <c:v>60.49891921</c:v>
                </c:pt>
                <c:pt idx="50">
                  <c:v>60.82533</c:v>
                </c:pt>
                <c:pt idx="51">
                  <c:v>61.15675499000001</c:v>
                </c:pt>
                <c:pt idx="52">
                  <c:v>61.49316352000001</c:v>
                </c:pt>
                <c:pt idx="53">
                  <c:v>61.83452493</c:v>
                </c:pt>
                <c:pt idx="54">
                  <c:v>62.18080856</c:v>
                </c:pt>
                <c:pt idx="55">
                  <c:v>62.53198375</c:v>
                </c:pt>
                <c:pt idx="56">
                  <c:v>62.88801984</c:v>
                </c:pt>
                <c:pt idx="57">
                  <c:v>63.24888617000001</c:v>
                </c:pt>
                <c:pt idx="58">
                  <c:v>63.61455208000001</c:v>
                </c:pt>
                <c:pt idx="59">
                  <c:v>63.98498691</c:v>
                </c:pt>
                <c:pt idx="60">
                  <c:v>64.36016000000002</c:v>
                </c:pt>
                <c:pt idx="61">
                  <c:v>64.74004069</c:v>
                </c:pt>
                <c:pt idx="62">
                  <c:v>65.12459832</c:v>
                </c:pt>
                <c:pt idx="63">
                  <c:v>65.0</c:v>
                </c:pt>
                <c:pt idx="64">
                  <c:v>65.0</c:v>
                </c:pt>
                <c:pt idx="65">
                  <c:v>65.0</c:v>
                </c:pt>
                <c:pt idx="66">
                  <c:v>65.0</c:v>
                </c:pt>
                <c:pt idx="67">
                  <c:v>65.0</c:v>
                </c:pt>
                <c:pt idx="68">
                  <c:v>65.0</c:v>
                </c:pt>
                <c:pt idx="69">
                  <c:v>65.0</c:v>
                </c:pt>
                <c:pt idx="70">
                  <c:v>65.0</c:v>
                </c:pt>
                <c:pt idx="71">
                  <c:v>65.0</c:v>
                </c:pt>
                <c:pt idx="72">
                  <c:v>65.0</c:v>
                </c:pt>
                <c:pt idx="73">
                  <c:v>65.0</c:v>
                </c:pt>
                <c:pt idx="74">
                  <c:v>65.0</c:v>
                </c:pt>
                <c:pt idx="75">
                  <c:v>65.0</c:v>
                </c:pt>
                <c:pt idx="76">
                  <c:v>65.0</c:v>
                </c:pt>
                <c:pt idx="77">
                  <c:v>65.0</c:v>
                </c:pt>
                <c:pt idx="78">
                  <c:v>65.0</c:v>
                </c:pt>
                <c:pt idx="79">
                  <c:v>65.0</c:v>
                </c:pt>
                <c:pt idx="80">
                  <c:v>65.0</c:v>
                </c:pt>
              </c:numCache>
            </c:numRef>
          </c:yVal>
        </c:ser>
        <c:ser>
          <c:idx val="1"/>
          <c:order val="1"/>
          <c:tx>
            <c:strRef>
              <c:f>'Plot Data'!$D$1</c:f>
              <c:strCache>
                <c:ptCount val="1"/>
                <c:pt idx="0">
                  <c:v>No Impact</c:v>
                </c:pt>
              </c:strCache>
            </c:strRef>
          </c:tx>
          <c:marker>
            <c:symbol val="none"/>
          </c:marker>
          <c:dLbls>
            <c:dLbl>
              <c:idx val="0"/>
              <c:layout/>
              <c:tx>
                <c:rich>
                  <a:bodyPr/>
                  <a:lstStyle/>
                  <a:p>
                    <a:r>
                      <a:rPr lang="en-US" sz="1200" b="1" i="0" baseline="0">
                        <a:solidFill>
                          <a:srgbClr val="008000"/>
                        </a:solidFill>
                      </a:rPr>
                      <a:t>Low Impact</a:t>
                    </a:r>
                    <a:endParaRPr lang="en-US" sz="1200" b="1" i="0">
                      <a:solidFill>
                        <a:srgbClr val="008000"/>
                      </a:solidFill>
                    </a:endParaRPr>
                  </a:p>
                </c:rich>
              </c:tx>
              <c:dLblPos val="r"/>
              <c:showVal val="1"/>
            </c:dLbl>
            <c:delete val="1"/>
          </c:dLbls>
          <c:xVal>
            <c:numRef>
              <c:f>'Plot Data'!$D$2</c:f>
              <c:numCache>
                <c:formatCode>General</c:formatCode>
                <c:ptCount val="1"/>
                <c:pt idx="0">
                  <c:v>45.0</c:v>
                </c:pt>
              </c:numCache>
            </c:numRef>
          </c:xVal>
          <c:yVal>
            <c:numRef>
              <c:f>'Plot Data'!$D$3</c:f>
              <c:numCache>
                <c:formatCode>0.00000</c:formatCode>
                <c:ptCount val="1"/>
                <c:pt idx="0">
                  <c:v>47.00681000000001</c:v>
                </c:pt>
              </c:numCache>
            </c:numRef>
          </c:yVal>
        </c:ser>
        <c:ser>
          <c:idx val="2"/>
          <c:order val="2"/>
          <c:tx>
            <c:strRef>
              <c:f>'Plot Data'!$C$1</c:f>
              <c:strCache>
                <c:ptCount val="1"/>
                <c:pt idx="0">
                  <c:v>Severe Threshold</c:v>
                </c:pt>
              </c:strCache>
            </c:strRef>
          </c:tx>
          <c:spPr>
            <a:ln>
              <a:solidFill>
                <a:srgbClr val="FF0000"/>
              </a:solidFill>
            </a:ln>
          </c:spPr>
          <c:marker>
            <c:symbol val="none"/>
          </c:marker>
          <c:xVal>
            <c:numRef>
              <c:f>'Plot Data'!$A$2:$A$82</c:f>
              <c:numCache>
                <c:formatCode>0.0</c:formatCode>
                <c:ptCount val="8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numCache>
            </c:numRef>
          </c:xVal>
          <c:yVal>
            <c:numRef>
              <c:f>'Plot Data'!$C$2:$C$82</c:f>
              <c:numCache>
                <c:formatCode>0.0</c:formatCode>
                <c:ptCount val="81"/>
                <c:pt idx="0">
                  <c:v>54.922</c:v>
                </c:pt>
                <c:pt idx="1">
                  <c:v>55.392</c:v>
                </c:pt>
                <c:pt idx="2">
                  <c:v>55.862</c:v>
                </c:pt>
                <c:pt idx="3">
                  <c:v>56.332</c:v>
                </c:pt>
                <c:pt idx="4">
                  <c:v>56.802</c:v>
                </c:pt>
                <c:pt idx="5">
                  <c:v>57.272</c:v>
                </c:pt>
                <c:pt idx="6">
                  <c:v>57.742</c:v>
                </c:pt>
                <c:pt idx="7">
                  <c:v>58.212</c:v>
                </c:pt>
                <c:pt idx="8">
                  <c:v>58.6595088</c:v>
                </c:pt>
                <c:pt idx="9">
                  <c:v>58.69351666249998</c:v>
                </c:pt>
                <c:pt idx="10">
                  <c:v>58.7356625</c:v>
                </c:pt>
                <c:pt idx="11">
                  <c:v>58.78586808750001</c:v>
                </c:pt>
                <c:pt idx="12">
                  <c:v>58.84405519999999</c:v>
                </c:pt>
                <c:pt idx="13">
                  <c:v>58.9101456125</c:v>
                </c:pt>
                <c:pt idx="14">
                  <c:v>58.98406109999999</c:v>
                </c:pt>
                <c:pt idx="15">
                  <c:v>59.0657234375</c:v>
                </c:pt>
                <c:pt idx="16">
                  <c:v>59.1550544</c:v>
                </c:pt>
                <c:pt idx="17">
                  <c:v>59.25197576250001</c:v>
                </c:pt>
                <c:pt idx="18">
                  <c:v>59.35640929999999</c:v>
                </c:pt>
                <c:pt idx="19">
                  <c:v>59.4682767875</c:v>
                </c:pt>
                <c:pt idx="20">
                  <c:v>59.5875</c:v>
                </c:pt>
                <c:pt idx="21">
                  <c:v>59.71400071249999</c:v>
                </c:pt>
                <c:pt idx="22">
                  <c:v>59.8477007</c:v>
                </c:pt>
                <c:pt idx="23">
                  <c:v>59.98852173750001</c:v>
                </c:pt>
                <c:pt idx="24">
                  <c:v>60.13638559999998</c:v>
                </c:pt>
                <c:pt idx="25">
                  <c:v>60.29121406250001</c:v>
                </c:pt>
                <c:pt idx="26">
                  <c:v>60.4529289</c:v>
                </c:pt>
                <c:pt idx="27">
                  <c:v>60.6214518875</c:v>
                </c:pt>
                <c:pt idx="28">
                  <c:v>60.79670479999998</c:v>
                </c:pt>
                <c:pt idx="29">
                  <c:v>60.97860941250001</c:v>
                </c:pt>
                <c:pt idx="30">
                  <c:v>61.16708749999999</c:v>
                </c:pt>
                <c:pt idx="31">
                  <c:v>61.36206083750001</c:v>
                </c:pt>
                <c:pt idx="32">
                  <c:v>61.5634512</c:v>
                </c:pt>
                <c:pt idx="33">
                  <c:v>61.7711803625</c:v>
                </c:pt>
                <c:pt idx="34">
                  <c:v>61.9851701</c:v>
                </c:pt>
                <c:pt idx="35">
                  <c:v>62.2053421875</c:v>
                </c:pt>
                <c:pt idx="36">
                  <c:v>62.4316184</c:v>
                </c:pt>
                <c:pt idx="37">
                  <c:v>62.66392051250001</c:v>
                </c:pt>
                <c:pt idx="38">
                  <c:v>62.90217029999998</c:v>
                </c:pt>
                <c:pt idx="39">
                  <c:v>63.1462895375</c:v>
                </c:pt>
                <c:pt idx="40">
                  <c:v>63.3962</c:v>
                </c:pt>
                <c:pt idx="41">
                  <c:v>63.65182346249999</c:v>
                </c:pt>
                <c:pt idx="42">
                  <c:v>63.91308169999999</c:v>
                </c:pt>
                <c:pt idx="43">
                  <c:v>64.17989648750002</c:v>
                </c:pt>
                <c:pt idx="44">
                  <c:v>64.4521896</c:v>
                </c:pt>
                <c:pt idx="45">
                  <c:v>64.72988281250001</c:v>
                </c:pt>
                <c:pt idx="46">
                  <c:v>65.0128979</c:v>
                </c:pt>
                <c:pt idx="47">
                  <c:v>65.3011566375</c:v>
                </c:pt>
                <c:pt idx="48">
                  <c:v>65.5945808</c:v>
                </c:pt>
                <c:pt idx="49">
                  <c:v>65.89309216249998</c:v>
                </c:pt>
                <c:pt idx="50">
                  <c:v>66.1966125</c:v>
                </c:pt>
                <c:pt idx="51">
                  <c:v>66.50506358749999</c:v>
                </c:pt>
                <c:pt idx="52">
                  <c:v>66.81836719999998</c:v>
                </c:pt>
                <c:pt idx="53">
                  <c:v>67.13644511250001</c:v>
                </c:pt>
                <c:pt idx="54">
                  <c:v>67.4592191</c:v>
                </c:pt>
                <c:pt idx="55">
                  <c:v>67.78661093749997</c:v>
                </c:pt>
                <c:pt idx="56">
                  <c:v>68.11854240000001</c:v>
                </c:pt>
                <c:pt idx="57">
                  <c:v>68.45493526249999</c:v>
                </c:pt>
                <c:pt idx="58">
                  <c:v>68.79571129999999</c:v>
                </c:pt>
                <c:pt idx="59">
                  <c:v>69.14079228750001</c:v>
                </c:pt>
                <c:pt idx="60">
                  <c:v>69.49009999999998</c:v>
                </c:pt>
                <c:pt idx="61">
                  <c:v>69.84355621249999</c:v>
                </c:pt>
                <c:pt idx="62">
                  <c:v>70.20108270000001</c:v>
                </c:pt>
                <c:pt idx="63">
                  <c:v>70.56260123749999</c:v>
                </c:pt>
                <c:pt idx="64">
                  <c:v>70.92803359999996</c:v>
                </c:pt>
                <c:pt idx="65">
                  <c:v>71.29730156250002</c:v>
                </c:pt>
                <c:pt idx="66">
                  <c:v>71.67032689999999</c:v>
                </c:pt>
                <c:pt idx="67">
                  <c:v>72.0470313875</c:v>
                </c:pt>
                <c:pt idx="68">
                  <c:v>72.42733680000002</c:v>
                </c:pt>
                <c:pt idx="69">
                  <c:v>72.81116491250003</c:v>
                </c:pt>
                <c:pt idx="70">
                  <c:v>73.1984375</c:v>
                </c:pt>
                <c:pt idx="71">
                  <c:v>73.58907633749999</c:v>
                </c:pt>
                <c:pt idx="72">
                  <c:v>73.98300319999998</c:v>
                </c:pt>
                <c:pt idx="73">
                  <c:v>74.38013986249999</c:v>
                </c:pt>
                <c:pt idx="74">
                  <c:v>74.78040810000002</c:v>
                </c:pt>
                <c:pt idx="75">
                  <c:v>75.0</c:v>
                </c:pt>
                <c:pt idx="76">
                  <c:v>75.0</c:v>
                </c:pt>
                <c:pt idx="77">
                  <c:v>75.0</c:v>
                </c:pt>
                <c:pt idx="78">
                  <c:v>75.0</c:v>
                </c:pt>
                <c:pt idx="79">
                  <c:v>75.0</c:v>
                </c:pt>
                <c:pt idx="80">
                  <c:v>75.0</c:v>
                </c:pt>
              </c:numCache>
            </c:numRef>
          </c:yVal>
        </c:ser>
        <c:ser>
          <c:idx val="3"/>
          <c:order val="3"/>
          <c:tx>
            <c:strRef>
              <c:f>'Plot Data'!$E$1</c:f>
              <c:strCache>
                <c:ptCount val="1"/>
                <c:pt idx="0">
                  <c:v>Moderate Impact</c:v>
                </c:pt>
              </c:strCache>
            </c:strRef>
          </c:tx>
          <c:marker>
            <c:symbol val="none"/>
          </c:marker>
          <c:dLbls>
            <c:dLbl>
              <c:idx val="0"/>
              <c:layout/>
              <c:tx>
                <c:rich>
                  <a:bodyPr/>
                  <a:lstStyle/>
                  <a:p>
                    <a:pPr>
                      <a:defRPr sz="1200" b="1" i="0">
                        <a:solidFill>
                          <a:srgbClr val="FF6600"/>
                        </a:solidFill>
                      </a:defRPr>
                    </a:pPr>
                    <a:r>
                      <a:rPr lang="en-US" sz="1200" b="1" i="0">
                        <a:solidFill>
                          <a:srgbClr val="FF6600"/>
                        </a:solidFill>
                      </a:rPr>
                      <a:t>Moderate Impact</a:t>
                    </a:r>
                  </a:p>
                </c:rich>
              </c:tx>
              <c:spPr/>
              <c:dLblPos val="r"/>
              <c:showVal val="1"/>
            </c:dLbl>
            <c:delete val="1"/>
          </c:dLbls>
          <c:xVal>
            <c:numRef>
              <c:f>'Plot Data'!$E$2</c:f>
              <c:numCache>
                <c:formatCode>General</c:formatCode>
                <c:ptCount val="1"/>
                <c:pt idx="0">
                  <c:v>45.0</c:v>
                </c:pt>
              </c:numCache>
            </c:numRef>
          </c:xVal>
          <c:yVal>
            <c:numRef>
              <c:f>'Plot Data'!$E$3</c:f>
              <c:numCache>
                <c:formatCode>General</c:formatCode>
                <c:ptCount val="1"/>
                <c:pt idx="0">
                  <c:v>56.37123625</c:v>
                </c:pt>
              </c:numCache>
            </c:numRef>
          </c:yVal>
        </c:ser>
        <c:ser>
          <c:idx val="4"/>
          <c:order val="4"/>
          <c:tx>
            <c:strRef>
              <c:f>'Plot Data'!$F$1</c:f>
              <c:strCache>
                <c:ptCount val="1"/>
                <c:pt idx="0">
                  <c:v>Severe Impact</c:v>
                </c:pt>
              </c:strCache>
            </c:strRef>
          </c:tx>
          <c:marker>
            <c:symbol val="none"/>
          </c:marker>
          <c:dLbls>
            <c:dLbl>
              <c:idx val="0"/>
              <c:layout/>
              <c:tx>
                <c:rich>
                  <a:bodyPr/>
                  <a:lstStyle/>
                  <a:p>
                    <a:r>
                      <a:rPr lang="en-US" sz="1200" b="1" i="0">
                        <a:solidFill>
                          <a:srgbClr val="FF0000"/>
                        </a:solidFill>
                      </a:rPr>
                      <a:t>Severe Impact</a:t>
                    </a:r>
                  </a:p>
                </c:rich>
              </c:tx>
              <c:dLblPos val="r"/>
              <c:showVal val="1"/>
            </c:dLbl>
            <c:delete val="1"/>
          </c:dLbls>
          <c:xVal>
            <c:numRef>
              <c:f>'Plot Data'!$F$2</c:f>
              <c:numCache>
                <c:formatCode>General</c:formatCode>
                <c:ptCount val="1"/>
                <c:pt idx="0">
                  <c:v>45.0</c:v>
                </c:pt>
              </c:numCache>
            </c:numRef>
          </c:xVal>
          <c:yVal>
            <c:numRef>
              <c:f>'Plot Data'!$F$3</c:f>
              <c:numCache>
                <c:formatCode>0.0</c:formatCode>
                <c:ptCount val="1"/>
                <c:pt idx="0">
                  <c:v>63.7356625</c:v>
                </c:pt>
              </c:numCache>
            </c:numRef>
          </c:yVal>
        </c:ser>
        <c:ser>
          <c:idx val="5"/>
          <c:order val="5"/>
          <c:tx>
            <c:v>Noise Impact</c:v>
          </c:tx>
          <c:marker>
            <c:symbol val="circle"/>
            <c:size val="7"/>
            <c:spPr>
              <a:noFill/>
              <a:ln w="38100">
                <a:solidFill>
                  <a:srgbClr val="0000FF"/>
                </a:solidFill>
              </a:ln>
            </c:spPr>
          </c:marker>
          <c:xVal>
            <c:numRef>
              <c:f>'Plot Data'!$G$2</c:f>
              <c:numCache>
                <c:formatCode>General</c:formatCode>
                <c:ptCount val="1"/>
                <c:pt idx="0">
                  <c:v>55.0</c:v>
                </c:pt>
              </c:numCache>
            </c:numRef>
          </c:xVal>
          <c:yVal>
            <c:numRef>
              <c:f>'Plot Data'!$G$3</c:f>
              <c:numCache>
                <c:formatCode>General</c:formatCode>
                <c:ptCount val="1"/>
                <c:pt idx="0">
                  <c:v>60.26955091194835</c:v>
                </c:pt>
              </c:numCache>
            </c:numRef>
          </c:yVal>
        </c:ser>
        <c:axId val="477208952"/>
        <c:axId val="475891880"/>
      </c:scatterChart>
      <c:valAx>
        <c:axId val="477208952"/>
        <c:scaling>
          <c:orientation val="minMax"/>
          <c:max val="80.0"/>
          <c:min val="40.0"/>
        </c:scaling>
        <c:axPos val="b"/>
        <c:title>
          <c:tx>
            <c:rich>
              <a:bodyPr/>
              <a:lstStyle/>
              <a:p>
                <a:pPr>
                  <a:defRPr/>
                </a:pPr>
                <a:r>
                  <a:rPr lang="en-US"/>
                  <a:t>Existing Sound Exposure (dBA)</a:t>
                </a:r>
              </a:p>
            </c:rich>
          </c:tx>
          <c:layout/>
        </c:title>
        <c:numFmt formatCode="0.0" sourceLinked="1"/>
        <c:tickLblPos val="nextTo"/>
        <c:crossAx val="475891880"/>
        <c:crosses val="autoZero"/>
        <c:crossBetween val="midCat"/>
      </c:valAx>
      <c:valAx>
        <c:axId val="475891880"/>
        <c:scaling>
          <c:orientation val="minMax"/>
          <c:max val="85.0"/>
          <c:min val="40.0"/>
        </c:scaling>
        <c:axPos val="l"/>
        <c:majorGridlines/>
        <c:title>
          <c:tx>
            <c:rich>
              <a:bodyPr/>
              <a:lstStyle/>
              <a:p>
                <a:pPr>
                  <a:defRPr/>
                </a:pPr>
                <a:r>
                  <a:rPr lang="en-US"/>
                  <a:t>Project Sound Exposure (dBA)</a:t>
                </a:r>
              </a:p>
            </c:rich>
          </c:tx>
          <c:layout/>
        </c:title>
        <c:numFmt formatCode="0.0" sourceLinked="1"/>
        <c:tickLblPos val="nextTo"/>
        <c:crossAx val="477208952"/>
        <c:crosses val="autoZero"/>
        <c:crossBetween val="midCat"/>
      </c:valAx>
    </c:plotArea>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scatterChart>
        <c:scatterStyle val="lineMarker"/>
        <c:ser>
          <c:idx val="0"/>
          <c:order val="0"/>
          <c:tx>
            <c:strRef>
              <c:f>'FRA Noise Impact Criteria'!$B$5</c:f>
              <c:strCache>
                <c:ptCount val="1"/>
                <c:pt idx="0">
                  <c:v>Cat 1&amp;2 Moderate</c:v>
                </c:pt>
              </c:strCache>
            </c:strRef>
          </c:tx>
          <c:marker>
            <c:symbol val="none"/>
          </c:marker>
          <c:xVal>
            <c:numRef>
              <c:f>'FRA Noise Impact Criteria'!$A$6:$A$86</c:f>
              <c:numCache>
                <c:formatCode>0.0</c:formatCode>
                <c:ptCount val="8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numCache>
            </c:numRef>
          </c:xVal>
          <c:yVal>
            <c:numRef>
              <c:f>'FRA Noise Impact Criteria'!$B$6:$B$86</c:f>
              <c:numCache>
                <c:formatCode>0.000</c:formatCode>
                <c:ptCount val="81"/>
                <c:pt idx="0">
                  <c:v>49.57</c:v>
                </c:pt>
                <c:pt idx="1">
                  <c:v>50.0465</c:v>
                </c:pt>
                <c:pt idx="2">
                  <c:v>50.523</c:v>
                </c:pt>
                <c:pt idx="3">
                  <c:v>50.9995</c:v>
                </c:pt>
                <c:pt idx="4">
                  <c:v>51.49728256</c:v>
                </c:pt>
                <c:pt idx="5">
                  <c:v>51.56632125</c:v>
                </c:pt>
                <c:pt idx="6">
                  <c:v>51.64175384</c:v>
                </c:pt>
                <c:pt idx="7">
                  <c:v>51.72354967000001</c:v>
                </c:pt>
                <c:pt idx="8">
                  <c:v>51.81167808000001</c:v>
                </c:pt>
                <c:pt idx="9">
                  <c:v>51.90610841</c:v>
                </c:pt>
                <c:pt idx="10">
                  <c:v>52.00681000000001</c:v>
                </c:pt>
                <c:pt idx="11">
                  <c:v>52.11375219</c:v>
                </c:pt>
                <c:pt idx="12">
                  <c:v>52.22690432</c:v>
                </c:pt>
                <c:pt idx="13">
                  <c:v>52.34623573</c:v>
                </c:pt>
                <c:pt idx="14">
                  <c:v>52.47171576000001</c:v>
                </c:pt>
                <c:pt idx="15">
                  <c:v>52.60331375</c:v>
                </c:pt>
                <c:pt idx="16">
                  <c:v>52.74099904</c:v>
                </c:pt>
                <c:pt idx="17">
                  <c:v>52.88474097</c:v>
                </c:pt>
                <c:pt idx="18">
                  <c:v>53.03450888</c:v>
                </c:pt>
                <c:pt idx="19">
                  <c:v>53.19027211</c:v>
                </c:pt>
                <c:pt idx="20">
                  <c:v>53.352</c:v>
                </c:pt>
                <c:pt idx="21">
                  <c:v>53.51966189000001</c:v>
                </c:pt>
                <c:pt idx="22">
                  <c:v>53.69322712</c:v>
                </c:pt>
                <c:pt idx="23">
                  <c:v>53.87266503000001</c:v>
                </c:pt>
                <c:pt idx="24">
                  <c:v>54.05794496</c:v>
                </c:pt>
                <c:pt idx="25">
                  <c:v>54.24903625</c:v>
                </c:pt>
                <c:pt idx="26">
                  <c:v>54.44590824</c:v>
                </c:pt>
                <c:pt idx="27">
                  <c:v>54.64853027</c:v>
                </c:pt>
                <c:pt idx="28">
                  <c:v>54.85687168000001</c:v>
                </c:pt>
                <c:pt idx="29">
                  <c:v>55.07090181</c:v>
                </c:pt>
                <c:pt idx="30">
                  <c:v>55.29059</c:v>
                </c:pt>
                <c:pt idx="31">
                  <c:v>55.51590559</c:v>
                </c:pt>
                <c:pt idx="32">
                  <c:v>55.74681792000001</c:v>
                </c:pt>
                <c:pt idx="33">
                  <c:v>55.98329633000001</c:v>
                </c:pt>
                <c:pt idx="34">
                  <c:v>56.22531016</c:v>
                </c:pt>
                <c:pt idx="35">
                  <c:v>56.47282875000002</c:v>
                </c:pt>
                <c:pt idx="36">
                  <c:v>56.72582144</c:v>
                </c:pt>
                <c:pt idx="37">
                  <c:v>56.98425757000001</c:v>
                </c:pt>
                <c:pt idx="38">
                  <c:v>57.24810647999999</c:v>
                </c:pt>
                <c:pt idx="39">
                  <c:v>57.51733751</c:v>
                </c:pt>
                <c:pt idx="40">
                  <c:v>57.79192000000001</c:v>
                </c:pt>
                <c:pt idx="41">
                  <c:v>58.07182329000001</c:v>
                </c:pt>
                <c:pt idx="42">
                  <c:v>58.35701672</c:v>
                </c:pt>
                <c:pt idx="43">
                  <c:v>58.64746963000001</c:v>
                </c:pt>
                <c:pt idx="44">
                  <c:v>58.94315136000001</c:v>
                </c:pt>
                <c:pt idx="45">
                  <c:v>59.24403125000001</c:v>
                </c:pt>
                <c:pt idx="46">
                  <c:v>59.55007864000001</c:v>
                </c:pt>
                <c:pt idx="47">
                  <c:v>59.86126287</c:v>
                </c:pt>
                <c:pt idx="48">
                  <c:v>60.17755328</c:v>
                </c:pt>
                <c:pt idx="49">
                  <c:v>60.49891921</c:v>
                </c:pt>
                <c:pt idx="50">
                  <c:v>60.82533</c:v>
                </c:pt>
                <c:pt idx="51">
                  <c:v>61.15675499000001</c:v>
                </c:pt>
                <c:pt idx="52">
                  <c:v>61.49316352000001</c:v>
                </c:pt>
                <c:pt idx="53">
                  <c:v>61.83452493</c:v>
                </c:pt>
                <c:pt idx="54">
                  <c:v>62.18080856</c:v>
                </c:pt>
                <c:pt idx="55">
                  <c:v>62.53198375</c:v>
                </c:pt>
                <c:pt idx="56">
                  <c:v>62.88801984</c:v>
                </c:pt>
                <c:pt idx="57">
                  <c:v>63.24888617000001</c:v>
                </c:pt>
                <c:pt idx="58">
                  <c:v>63.61455208000001</c:v>
                </c:pt>
                <c:pt idx="59">
                  <c:v>63.98498691</c:v>
                </c:pt>
                <c:pt idx="60">
                  <c:v>64.36016000000002</c:v>
                </c:pt>
                <c:pt idx="61">
                  <c:v>64.74004069</c:v>
                </c:pt>
                <c:pt idx="62">
                  <c:v>65.12459832</c:v>
                </c:pt>
                <c:pt idx="63">
                  <c:v>65.0</c:v>
                </c:pt>
                <c:pt idx="64">
                  <c:v>65.0</c:v>
                </c:pt>
                <c:pt idx="65">
                  <c:v>65.0</c:v>
                </c:pt>
                <c:pt idx="66">
                  <c:v>65.0</c:v>
                </c:pt>
                <c:pt idx="67">
                  <c:v>65.0</c:v>
                </c:pt>
                <c:pt idx="68">
                  <c:v>65.0</c:v>
                </c:pt>
                <c:pt idx="69">
                  <c:v>65.0</c:v>
                </c:pt>
                <c:pt idx="70">
                  <c:v>65.0</c:v>
                </c:pt>
                <c:pt idx="71">
                  <c:v>65.0</c:v>
                </c:pt>
                <c:pt idx="72">
                  <c:v>65.0</c:v>
                </c:pt>
                <c:pt idx="73">
                  <c:v>65.0</c:v>
                </c:pt>
                <c:pt idx="74">
                  <c:v>65.0</c:v>
                </c:pt>
                <c:pt idx="75">
                  <c:v>65.0</c:v>
                </c:pt>
                <c:pt idx="76">
                  <c:v>65.0</c:v>
                </c:pt>
                <c:pt idx="77">
                  <c:v>65.0</c:v>
                </c:pt>
                <c:pt idx="78">
                  <c:v>65.0</c:v>
                </c:pt>
                <c:pt idx="79">
                  <c:v>65.0</c:v>
                </c:pt>
                <c:pt idx="80">
                  <c:v>65.0</c:v>
                </c:pt>
              </c:numCache>
            </c:numRef>
          </c:yVal>
        </c:ser>
        <c:ser>
          <c:idx val="1"/>
          <c:order val="1"/>
          <c:tx>
            <c:strRef>
              <c:f>'FRA Noise Impact Criteria'!$C$5</c:f>
              <c:strCache>
                <c:ptCount val="1"/>
                <c:pt idx="0">
                  <c:v>Cat 1&amp;2 Severe</c:v>
                </c:pt>
              </c:strCache>
            </c:strRef>
          </c:tx>
          <c:marker>
            <c:symbol val="none"/>
          </c:marker>
          <c:xVal>
            <c:numRef>
              <c:f>'FRA Noise Impact Criteria'!$A$6:$A$86</c:f>
              <c:numCache>
                <c:formatCode>0.0</c:formatCode>
                <c:ptCount val="8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numCache>
            </c:numRef>
          </c:xVal>
          <c:yVal>
            <c:numRef>
              <c:f>'FRA Noise Impact Criteria'!$C$6:$C$86</c:f>
              <c:numCache>
                <c:formatCode>General</c:formatCode>
                <c:ptCount val="81"/>
                <c:pt idx="0">
                  <c:v>54.922</c:v>
                </c:pt>
                <c:pt idx="1">
                  <c:v>55.392</c:v>
                </c:pt>
                <c:pt idx="2">
                  <c:v>55.862</c:v>
                </c:pt>
                <c:pt idx="3">
                  <c:v>56.332</c:v>
                </c:pt>
                <c:pt idx="4">
                  <c:v>56.802</c:v>
                </c:pt>
                <c:pt idx="5">
                  <c:v>57.272</c:v>
                </c:pt>
                <c:pt idx="6">
                  <c:v>57.742</c:v>
                </c:pt>
                <c:pt idx="7">
                  <c:v>58.212</c:v>
                </c:pt>
                <c:pt idx="8">
                  <c:v>58.6595088</c:v>
                </c:pt>
                <c:pt idx="9">
                  <c:v>58.69351666249998</c:v>
                </c:pt>
                <c:pt idx="10">
                  <c:v>58.7356625</c:v>
                </c:pt>
                <c:pt idx="11">
                  <c:v>58.78586808750001</c:v>
                </c:pt>
                <c:pt idx="12">
                  <c:v>58.84405519999999</c:v>
                </c:pt>
                <c:pt idx="13">
                  <c:v>58.9101456125</c:v>
                </c:pt>
                <c:pt idx="14">
                  <c:v>58.98406109999999</c:v>
                </c:pt>
                <c:pt idx="15">
                  <c:v>59.0657234375</c:v>
                </c:pt>
                <c:pt idx="16">
                  <c:v>59.1550544</c:v>
                </c:pt>
                <c:pt idx="17">
                  <c:v>59.25197576250001</c:v>
                </c:pt>
                <c:pt idx="18">
                  <c:v>59.35640929999999</c:v>
                </c:pt>
                <c:pt idx="19">
                  <c:v>59.4682767875</c:v>
                </c:pt>
                <c:pt idx="20">
                  <c:v>59.5875</c:v>
                </c:pt>
                <c:pt idx="21">
                  <c:v>59.71400071249999</c:v>
                </c:pt>
                <c:pt idx="22">
                  <c:v>59.8477007</c:v>
                </c:pt>
                <c:pt idx="23">
                  <c:v>59.98852173750001</c:v>
                </c:pt>
                <c:pt idx="24">
                  <c:v>60.13638559999998</c:v>
                </c:pt>
                <c:pt idx="25">
                  <c:v>60.29121406250001</c:v>
                </c:pt>
                <c:pt idx="26">
                  <c:v>60.4529289</c:v>
                </c:pt>
                <c:pt idx="27">
                  <c:v>60.6214518875</c:v>
                </c:pt>
                <c:pt idx="28">
                  <c:v>60.79670479999998</c:v>
                </c:pt>
                <c:pt idx="29">
                  <c:v>60.97860941250001</c:v>
                </c:pt>
                <c:pt idx="30">
                  <c:v>61.16708749999999</c:v>
                </c:pt>
                <c:pt idx="31">
                  <c:v>61.36206083750001</c:v>
                </c:pt>
                <c:pt idx="32">
                  <c:v>61.5634512</c:v>
                </c:pt>
                <c:pt idx="33">
                  <c:v>61.7711803625</c:v>
                </c:pt>
                <c:pt idx="34">
                  <c:v>61.9851701</c:v>
                </c:pt>
                <c:pt idx="35">
                  <c:v>62.2053421875</c:v>
                </c:pt>
                <c:pt idx="36">
                  <c:v>62.4316184</c:v>
                </c:pt>
                <c:pt idx="37">
                  <c:v>62.66392051250001</c:v>
                </c:pt>
                <c:pt idx="38">
                  <c:v>62.90217029999998</c:v>
                </c:pt>
                <c:pt idx="39">
                  <c:v>63.1462895375</c:v>
                </c:pt>
                <c:pt idx="40">
                  <c:v>63.3962</c:v>
                </c:pt>
                <c:pt idx="41">
                  <c:v>63.65182346249999</c:v>
                </c:pt>
                <c:pt idx="42">
                  <c:v>63.91308169999999</c:v>
                </c:pt>
                <c:pt idx="43">
                  <c:v>64.17989648750002</c:v>
                </c:pt>
                <c:pt idx="44">
                  <c:v>64.4521896</c:v>
                </c:pt>
                <c:pt idx="45">
                  <c:v>64.72988281250001</c:v>
                </c:pt>
                <c:pt idx="46">
                  <c:v>65.0128979</c:v>
                </c:pt>
                <c:pt idx="47">
                  <c:v>65.3011566375</c:v>
                </c:pt>
                <c:pt idx="48">
                  <c:v>65.5945808</c:v>
                </c:pt>
                <c:pt idx="49">
                  <c:v>65.89309216249998</c:v>
                </c:pt>
                <c:pt idx="50">
                  <c:v>66.1966125</c:v>
                </c:pt>
                <c:pt idx="51">
                  <c:v>66.50506358749999</c:v>
                </c:pt>
                <c:pt idx="52">
                  <c:v>66.81836719999998</c:v>
                </c:pt>
                <c:pt idx="53">
                  <c:v>67.13644511250001</c:v>
                </c:pt>
                <c:pt idx="54">
                  <c:v>67.4592191</c:v>
                </c:pt>
                <c:pt idx="55">
                  <c:v>67.78661093749997</c:v>
                </c:pt>
                <c:pt idx="56">
                  <c:v>68.11854240000001</c:v>
                </c:pt>
                <c:pt idx="57">
                  <c:v>68.45493526249999</c:v>
                </c:pt>
                <c:pt idx="58">
                  <c:v>68.79571129999999</c:v>
                </c:pt>
                <c:pt idx="59">
                  <c:v>69.14079228750001</c:v>
                </c:pt>
                <c:pt idx="60">
                  <c:v>69.49009999999998</c:v>
                </c:pt>
                <c:pt idx="61">
                  <c:v>69.84355621249999</c:v>
                </c:pt>
                <c:pt idx="62">
                  <c:v>70.20108270000001</c:v>
                </c:pt>
                <c:pt idx="63">
                  <c:v>70.56260123749999</c:v>
                </c:pt>
                <c:pt idx="64">
                  <c:v>70.92803359999996</c:v>
                </c:pt>
                <c:pt idx="65">
                  <c:v>71.29730156250002</c:v>
                </c:pt>
                <c:pt idx="66">
                  <c:v>71.67032689999999</c:v>
                </c:pt>
                <c:pt idx="67">
                  <c:v>72.0470313875</c:v>
                </c:pt>
                <c:pt idx="68">
                  <c:v>72.42733680000002</c:v>
                </c:pt>
                <c:pt idx="69">
                  <c:v>72.81116491250003</c:v>
                </c:pt>
                <c:pt idx="70">
                  <c:v>73.1984375</c:v>
                </c:pt>
                <c:pt idx="71">
                  <c:v>73.58907633749999</c:v>
                </c:pt>
                <c:pt idx="72">
                  <c:v>73.98300319999998</c:v>
                </c:pt>
                <c:pt idx="73">
                  <c:v>74.38013986249999</c:v>
                </c:pt>
                <c:pt idx="74">
                  <c:v>74.78040810000002</c:v>
                </c:pt>
                <c:pt idx="75">
                  <c:v>75.0</c:v>
                </c:pt>
                <c:pt idx="76">
                  <c:v>75.0</c:v>
                </c:pt>
                <c:pt idx="77">
                  <c:v>75.0</c:v>
                </c:pt>
                <c:pt idx="78">
                  <c:v>75.0</c:v>
                </c:pt>
                <c:pt idx="79">
                  <c:v>75.0</c:v>
                </c:pt>
                <c:pt idx="80">
                  <c:v>75.0</c:v>
                </c:pt>
              </c:numCache>
            </c:numRef>
          </c:yVal>
        </c:ser>
        <c:axId val="475691848"/>
        <c:axId val="552071176"/>
      </c:scatterChart>
      <c:valAx>
        <c:axId val="475691848"/>
        <c:scaling>
          <c:orientation val="minMax"/>
          <c:max val="80.0"/>
          <c:min val="40.0"/>
        </c:scaling>
        <c:axPos val="b"/>
        <c:title>
          <c:tx>
            <c:rich>
              <a:bodyPr/>
              <a:lstStyle/>
              <a:p>
                <a:pPr>
                  <a:defRPr/>
                </a:pPr>
                <a:r>
                  <a:rPr lang="en-US"/>
                  <a:t>Existing Noise Exposure (dBA)</a:t>
                </a:r>
              </a:p>
            </c:rich>
          </c:tx>
        </c:title>
        <c:numFmt formatCode="0.0" sourceLinked="1"/>
        <c:tickLblPos val="nextTo"/>
        <c:crossAx val="552071176"/>
        <c:crosses val="autoZero"/>
        <c:crossBetween val="midCat"/>
      </c:valAx>
      <c:valAx>
        <c:axId val="552071176"/>
        <c:scaling>
          <c:orientation val="minMax"/>
          <c:min val="40.0"/>
        </c:scaling>
        <c:axPos val="l"/>
        <c:majorGridlines/>
        <c:title>
          <c:tx>
            <c:rich>
              <a:bodyPr/>
              <a:lstStyle/>
              <a:p>
                <a:pPr>
                  <a:defRPr/>
                </a:pPr>
                <a:r>
                  <a:rPr lang="en-US"/>
                  <a:t>Project Noise Exposure (dBA)</a:t>
                </a:r>
              </a:p>
            </c:rich>
          </c:tx>
        </c:title>
        <c:numFmt formatCode="0.000" sourceLinked="1"/>
        <c:tickLblPos val="nextTo"/>
        <c:crossAx val="475691848"/>
        <c:crosses val="autoZero"/>
        <c:crossBetween val="midCat"/>
      </c:valAx>
    </c:plotArea>
    <c:legend>
      <c:legendPos val="r"/>
    </c:legend>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38100</xdr:colOff>
      <xdr:row>8</xdr:row>
      <xdr:rowOff>0</xdr:rowOff>
    </xdr:from>
    <xdr:to>
      <xdr:col>10</xdr:col>
      <xdr:colOff>850900</xdr:colOff>
      <xdr:row>34</xdr:row>
      <xdr:rowOff>25400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406400</xdr:colOff>
      <xdr:row>6</xdr:row>
      <xdr:rowOff>50800</xdr:rowOff>
    </xdr:from>
    <xdr:to>
      <xdr:col>9</xdr:col>
      <xdr:colOff>520700</xdr:colOff>
      <xdr:row>38</xdr:row>
      <xdr:rowOff>25400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dot.gov/Downloads/RRdev/final_nv.pdf" TargetMode="External"/><Relationship Id="rId2"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63"/>
  <sheetViews>
    <sheetView tabSelected="1" workbookViewId="0"/>
  </sheetViews>
  <sheetFormatPr baseColWidth="10" defaultRowHeight="13"/>
  <cols>
    <col min="1" max="1" width="23.7109375" customWidth="1"/>
    <col min="2" max="3" width="12.140625" customWidth="1"/>
    <col min="4" max="4" width="31.140625" customWidth="1"/>
    <col min="5" max="5" width="2.42578125" customWidth="1"/>
    <col min="8" max="8" width="4.140625" customWidth="1"/>
    <col min="9" max="9" width="8.42578125" bestFit="1" customWidth="1"/>
  </cols>
  <sheetData>
    <row r="1" spans="1:11" ht="18">
      <c r="A1" s="34" t="s">
        <v>4</v>
      </c>
    </row>
    <row r="2" spans="1:11">
      <c r="A2" s="33" t="s">
        <v>12</v>
      </c>
    </row>
    <row r="3" spans="1:11">
      <c r="A3" s="32" t="s">
        <v>3</v>
      </c>
    </row>
    <row r="4" spans="1:11">
      <c r="A4" s="32"/>
    </row>
    <row r="5" spans="1:11">
      <c r="A5" s="35" t="s">
        <v>5</v>
      </c>
    </row>
    <row r="6" spans="1:11" ht="14" thickBot="1">
      <c r="A6" s="35"/>
    </row>
    <row r="7" spans="1:11" ht="19" customHeight="1">
      <c r="A7" s="59" t="s">
        <v>48</v>
      </c>
      <c r="B7" s="60"/>
      <c r="C7" s="60"/>
      <c r="D7" s="61"/>
      <c r="E7" s="39"/>
      <c r="F7" s="62" t="s">
        <v>49</v>
      </c>
      <c r="G7" s="60"/>
      <c r="H7" s="60"/>
      <c r="I7" s="60"/>
      <c r="J7" s="60"/>
      <c r="K7" s="61"/>
    </row>
    <row r="8" spans="1:11">
      <c r="A8" s="46" t="s">
        <v>179</v>
      </c>
      <c r="B8" s="39"/>
      <c r="C8" s="39"/>
      <c r="D8" s="40"/>
      <c r="E8" s="39"/>
      <c r="F8" s="46"/>
      <c r="G8" s="39"/>
      <c r="H8" s="39"/>
      <c r="I8" s="39"/>
      <c r="J8" s="39"/>
      <c r="K8" s="40"/>
    </row>
    <row r="9" spans="1:11">
      <c r="A9" s="46"/>
      <c r="B9" s="39"/>
      <c r="C9" s="39"/>
      <c r="D9" s="40"/>
      <c r="E9" s="39"/>
      <c r="F9" s="46"/>
      <c r="G9" s="39"/>
      <c r="H9" s="39"/>
      <c r="I9" s="39"/>
      <c r="J9" s="39"/>
      <c r="K9" s="40"/>
    </row>
    <row r="10" spans="1:11">
      <c r="A10" s="38" t="s">
        <v>214</v>
      </c>
      <c r="B10" s="39"/>
      <c r="C10" s="39" t="s">
        <v>170</v>
      </c>
      <c r="D10" s="40"/>
      <c r="E10" s="39"/>
      <c r="F10" s="46"/>
      <c r="G10" s="39"/>
      <c r="H10" s="39"/>
      <c r="I10" s="39"/>
      <c r="J10" s="39"/>
      <c r="K10" s="40"/>
    </row>
    <row r="11" spans="1:11">
      <c r="A11" s="41" t="s">
        <v>213</v>
      </c>
      <c r="B11" s="42">
        <v>100</v>
      </c>
      <c r="C11" s="43" t="s">
        <v>154</v>
      </c>
      <c r="D11" s="40" t="s">
        <v>52</v>
      </c>
      <c r="E11" s="39"/>
      <c r="F11" s="46"/>
      <c r="G11" s="39"/>
      <c r="H11" s="39"/>
      <c r="I11" s="39"/>
      <c r="J11" s="39"/>
      <c r="K11" s="40"/>
    </row>
    <row r="12" spans="1:11" ht="26">
      <c r="A12" s="41" t="s">
        <v>212</v>
      </c>
      <c r="B12" s="42">
        <v>1</v>
      </c>
      <c r="C12" s="43" t="s">
        <v>35</v>
      </c>
      <c r="D12" s="40"/>
      <c r="E12" s="39"/>
      <c r="F12" s="46"/>
      <c r="G12" s="39"/>
      <c r="H12" s="39"/>
      <c r="I12" s="39"/>
      <c r="J12" s="39"/>
      <c r="K12" s="40"/>
    </row>
    <row r="13" spans="1:11">
      <c r="A13" s="41" t="s">
        <v>135</v>
      </c>
      <c r="B13" s="44" t="s">
        <v>178</v>
      </c>
      <c r="C13" s="43"/>
      <c r="D13" s="40"/>
      <c r="E13" s="39"/>
      <c r="F13" s="46"/>
      <c r="G13" s="39"/>
      <c r="H13" s="39"/>
      <c r="I13" s="39"/>
      <c r="J13" s="39"/>
      <c r="K13" s="40"/>
    </row>
    <row r="14" spans="1:11" ht="26">
      <c r="A14" s="41" t="s">
        <v>94</v>
      </c>
      <c r="B14" s="44" t="s">
        <v>198</v>
      </c>
      <c r="C14" s="43"/>
      <c r="D14" s="40"/>
      <c r="E14" s="39"/>
      <c r="F14" s="46"/>
      <c r="G14" s="39"/>
      <c r="H14" s="39"/>
      <c r="I14" s="39"/>
      <c r="J14" s="39"/>
      <c r="K14" s="40"/>
    </row>
    <row r="15" spans="1:11">
      <c r="A15" s="41" t="s">
        <v>114</v>
      </c>
      <c r="B15" s="45"/>
      <c r="C15" s="43" t="s">
        <v>77</v>
      </c>
      <c r="D15" s="40" t="s">
        <v>112</v>
      </c>
      <c r="E15" s="39"/>
      <c r="F15" s="46"/>
      <c r="G15" s="39"/>
      <c r="H15" s="39"/>
      <c r="I15" s="39"/>
      <c r="J15" s="39"/>
      <c r="K15" s="40"/>
    </row>
    <row r="16" spans="1:11">
      <c r="A16" s="41" t="s">
        <v>95</v>
      </c>
      <c r="B16" s="45"/>
      <c r="C16" s="43" t="s">
        <v>77</v>
      </c>
      <c r="D16" s="40" t="s">
        <v>113</v>
      </c>
      <c r="E16" s="39"/>
      <c r="F16" s="46"/>
      <c r="G16" s="39"/>
      <c r="H16" s="39"/>
      <c r="I16" s="39"/>
      <c r="J16" s="39"/>
      <c r="K16" s="40"/>
    </row>
    <row r="17" spans="1:11">
      <c r="A17" s="46"/>
      <c r="B17" s="39"/>
      <c r="C17" s="39"/>
      <c r="D17" s="40"/>
      <c r="E17" s="39"/>
      <c r="F17" s="46"/>
      <c r="G17" s="39"/>
      <c r="H17" s="39"/>
      <c r="I17" s="39"/>
      <c r="J17" s="39"/>
      <c r="K17" s="40"/>
    </row>
    <row r="18" spans="1:11">
      <c r="A18" s="38" t="s">
        <v>164</v>
      </c>
      <c r="B18" s="39"/>
      <c r="C18" s="39" t="s">
        <v>170</v>
      </c>
      <c r="D18" s="40"/>
      <c r="E18" s="39"/>
      <c r="F18" s="46"/>
      <c r="G18" s="39"/>
      <c r="H18" s="39"/>
      <c r="I18" s="39"/>
      <c r="J18" s="39"/>
      <c r="K18" s="40"/>
    </row>
    <row r="19" spans="1:11">
      <c r="A19" s="46" t="s">
        <v>165</v>
      </c>
      <c r="B19" s="47" t="s">
        <v>14</v>
      </c>
      <c r="C19" s="39"/>
      <c r="D19" s="40"/>
      <c r="E19" s="39"/>
      <c r="F19" s="46"/>
      <c r="G19" s="39"/>
      <c r="H19" s="39"/>
      <c r="I19" s="39"/>
      <c r="J19" s="39"/>
      <c r="K19" s="40"/>
    </row>
    <row r="20" spans="1:11">
      <c r="A20" s="46" t="s">
        <v>144</v>
      </c>
      <c r="B20" s="47">
        <f>70+5*85</f>
        <v>495</v>
      </c>
      <c r="C20" s="39" t="s">
        <v>143</v>
      </c>
      <c r="D20" s="40"/>
      <c r="E20" s="39"/>
      <c r="F20" s="46"/>
      <c r="G20" s="39"/>
      <c r="H20" s="39"/>
      <c r="I20" s="39"/>
      <c r="J20" s="39"/>
      <c r="K20" s="40"/>
    </row>
    <row r="21" spans="1:11">
      <c r="A21" s="46" t="s">
        <v>145</v>
      </c>
      <c r="B21" s="47">
        <v>70</v>
      </c>
      <c r="C21" s="39" t="s">
        <v>163</v>
      </c>
      <c r="D21" s="40"/>
      <c r="E21" s="39"/>
      <c r="F21" s="46"/>
      <c r="G21" s="39"/>
      <c r="H21" s="39"/>
      <c r="I21" s="39"/>
      <c r="J21" s="39"/>
      <c r="K21" s="40"/>
    </row>
    <row r="22" spans="1:11">
      <c r="A22" s="46" t="s">
        <v>146</v>
      </c>
      <c r="B22" s="47">
        <v>70</v>
      </c>
      <c r="C22" s="39" t="s">
        <v>163</v>
      </c>
      <c r="D22" s="40"/>
      <c r="E22" s="39"/>
      <c r="F22" s="46"/>
      <c r="G22" s="39"/>
      <c r="H22" s="39"/>
      <c r="I22" s="39"/>
      <c r="J22" s="39"/>
      <c r="K22" s="40"/>
    </row>
    <row r="23" spans="1:11">
      <c r="A23" s="46" t="s">
        <v>166</v>
      </c>
      <c r="B23" s="47">
        <v>79</v>
      </c>
      <c r="C23" s="39" t="s">
        <v>168</v>
      </c>
      <c r="D23" s="40"/>
      <c r="E23" s="39"/>
      <c r="F23" s="46"/>
      <c r="G23" s="39"/>
      <c r="H23" s="39"/>
      <c r="I23" s="39"/>
      <c r="J23" s="39"/>
      <c r="K23" s="40"/>
    </row>
    <row r="24" spans="1:11">
      <c r="A24" s="46" t="s">
        <v>167</v>
      </c>
      <c r="B24" s="47">
        <v>5</v>
      </c>
      <c r="C24" s="39" t="s">
        <v>169</v>
      </c>
      <c r="D24" s="40"/>
      <c r="E24" s="39"/>
      <c r="F24" s="46"/>
      <c r="G24" s="39"/>
      <c r="H24" s="39"/>
      <c r="I24" s="39"/>
      <c r="J24" s="39"/>
      <c r="K24" s="40"/>
    </row>
    <row r="25" spans="1:11">
      <c r="A25" s="46" t="s">
        <v>149</v>
      </c>
      <c r="B25" s="47">
        <v>80</v>
      </c>
      <c r="C25" s="39" t="s">
        <v>147</v>
      </c>
      <c r="D25" s="40"/>
      <c r="E25" s="39"/>
      <c r="F25" s="46"/>
      <c r="G25" s="39"/>
      <c r="H25" s="39"/>
      <c r="I25" s="39"/>
      <c r="J25" s="39"/>
      <c r="K25" s="40"/>
    </row>
    <row r="26" spans="1:11">
      <c r="A26" s="46" t="s">
        <v>148</v>
      </c>
      <c r="B26" s="47">
        <v>10</v>
      </c>
      <c r="C26" s="39" t="s">
        <v>150</v>
      </c>
      <c r="D26" s="40"/>
      <c r="E26" s="39"/>
      <c r="F26" s="46"/>
      <c r="G26" s="39"/>
      <c r="H26" s="39"/>
      <c r="I26" s="39"/>
      <c r="J26" s="39"/>
      <c r="K26" s="40"/>
    </row>
    <row r="27" spans="1:11">
      <c r="A27" s="46" t="s">
        <v>209</v>
      </c>
      <c r="B27" s="48" t="s">
        <v>223</v>
      </c>
      <c r="C27" s="39"/>
      <c r="D27" s="40"/>
      <c r="E27" s="39"/>
      <c r="F27" s="46"/>
      <c r="G27" s="39"/>
      <c r="H27" s="39"/>
      <c r="I27" s="39"/>
      <c r="J27" s="39"/>
      <c r="K27" s="40"/>
    </row>
    <row r="28" spans="1:11">
      <c r="A28" s="46"/>
      <c r="B28" s="39"/>
      <c r="C28" s="39"/>
      <c r="D28" s="40"/>
      <c r="E28" s="39"/>
      <c r="F28" s="46"/>
      <c r="G28" s="39"/>
      <c r="H28" s="39"/>
      <c r="I28" s="39"/>
      <c r="J28" s="39"/>
      <c r="K28" s="40"/>
    </row>
    <row r="29" spans="1:11">
      <c r="A29" s="49" t="s">
        <v>91</v>
      </c>
      <c r="B29" s="50" t="s">
        <v>93</v>
      </c>
      <c r="C29" s="50" t="s">
        <v>92</v>
      </c>
      <c r="D29" s="40"/>
      <c r="E29" s="39"/>
      <c r="F29" s="46"/>
      <c r="G29" s="39"/>
      <c r="H29" s="39"/>
      <c r="I29" s="39"/>
      <c r="J29" s="39"/>
      <c r="K29" s="40"/>
    </row>
    <row r="30" spans="1:11">
      <c r="A30" s="46" t="s">
        <v>165</v>
      </c>
      <c r="B30" s="47" t="s">
        <v>174</v>
      </c>
      <c r="C30" s="47" t="s">
        <v>174</v>
      </c>
      <c r="D30" s="40"/>
      <c r="E30" s="39"/>
      <c r="F30" s="46"/>
      <c r="G30" s="39"/>
      <c r="H30" s="39"/>
      <c r="I30" s="39"/>
      <c r="J30" s="39"/>
      <c r="K30" s="40"/>
    </row>
    <row r="31" spans="1:11">
      <c r="A31" s="46" t="s">
        <v>144</v>
      </c>
      <c r="B31" s="47">
        <f>85*6</f>
        <v>510</v>
      </c>
      <c r="C31" s="47">
        <v>1300</v>
      </c>
      <c r="D31" s="40" t="s">
        <v>143</v>
      </c>
      <c r="E31" s="39"/>
      <c r="F31" s="46"/>
      <c r="G31" s="39"/>
      <c r="H31" s="39"/>
      <c r="I31" s="39"/>
      <c r="J31" s="39"/>
      <c r="K31" s="40"/>
    </row>
    <row r="32" spans="1:11">
      <c r="A32" s="46" t="s">
        <v>145</v>
      </c>
      <c r="B32" s="47">
        <v>510</v>
      </c>
      <c r="C32" s="47">
        <v>75</v>
      </c>
      <c r="D32" s="40" t="s">
        <v>143</v>
      </c>
      <c r="E32" s="39"/>
      <c r="F32" s="46"/>
      <c r="G32" s="39"/>
      <c r="H32" s="39"/>
      <c r="I32" s="39"/>
      <c r="J32" s="39"/>
      <c r="K32" s="40"/>
    </row>
    <row r="33" spans="1:11">
      <c r="A33" s="46" t="s">
        <v>146</v>
      </c>
      <c r="B33" s="47">
        <v>85</v>
      </c>
      <c r="C33" s="47">
        <v>75</v>
      </c>
      <c r="D33" s="40" t="s">
        <v>143</v>
      </c>
      <c r="E33" s="39"/>
      <c r="F33" s="46"/>
      <c r="G33" s="39"/>
      <c r="H33" s="39"/>
      <c r="I33" s="39"/>
      <c r="J33" s="39"/>
      <c r="K33" s="40"/>
    </row>
    <row r="34" spans="1:11">
      <c r="A34" s="46" t="s">
        <v>166</v>
      </c>
      <c r="B34" s="47">
        <v>110</v>
      </c>
      <c r="C34" s="47">
        <v>125</v>
      </c>
      <c r="D34" s="40" t="s">
        <v>158</v>
      </c>
      <c r="E34" s="39"/>
      <c r="F34" s="46"/>
      <c r="G34" s="39"/>
      <c r="H34" s="39"/>
      <c r="I34" s="39"/>
      <c r="J34" s="39"/>
      <c r="K34" s="40"/>
    </row>
    <row r="35" spans="1:11">
      <c r="A35" s="46" t="s">
        <v>167</v>
      </c>
      <c r="B35" s="47">
        <v>6</v>
      </c>
      <c r="C35" s="47">
        <v>4</v>
      </c>
      <c r="D35" s="40" t="s">
        <v>169</v>
      </c>
      <c r="E35" s="39"/>
      <c r="F35" s="46"/>
      <c r="G35" s="39"/>
      <c r="H35" s="39"/>
      <c r="I35" s="39"/>
      <c r="J35" s="39"/>
      <c r="K35" s="40"/>
    </row>
    <row r="36" spans="1:11">
      <c r="A36" s="46" t="s">
        <v>149</v>
      </c>
      <c r="B36" s="47">
        <v>100</v>
      </c>
      <c r="C36" s="47">
        <v>90</v>
      </c>
      <c r="D36" s="40" t="s">
        <v>147</v>
      </c>
      <c r="E36" s="39"/>
      <c r="F36" s="46"/>
      <c r="G36" s="53" t="s">
        <v>47</v>
      </c>
      <c r="H36" s="39">
        <f>'Intermediate Calculations'!B47</f>
        <v>55</v>
      </c>
      <c r="I36" s="39" t="str">
        <f>'Intermediate Calculations'!E48</f>
        <v>dBA (Ldn)</v>
      </c>
      <c r="J36" s="39"/>
      <c r="K36" s="40"/>
    </row>
    <row r="37" spans="1:11">
      <c r="A37" s="46" t="s">
        <v>148</v>
      </c>
      <c r="B37" s="47">
        <v>15</v>
      </c>
      <c r="C37" s="47">
        <v>20</v>
      </c>
      <c r="D37" s="40" t="s">
        <v>150</v>
      </c>
      <c r="F37" s="46"/>
      <c r="G37" s="53" t="s">
        <v>44</v>
      </c>
      <c r="H37" s="54">
        <f>'Intermediate Calculations'!B48</f>
        <v>60.26955091194835</v>
      </c>
      <c r="I37" s="39" t="str">
        <f>I36</f>
        <v>dBA (Ldn)</v>
      </c>
      <c r="J37" s="39"/>
      <c r="K37" s="40"/>
    </row>
    <row r="38" spans="1:11">
      <c r="A38" s="46" t="s">
        <v>209</v>
      </c>
      <c r="B38" s="48" t="s">
        <v>51</v>
      </c>
      <c r="C38" s="48" t="s">
        <v>51</v>
      </c>
      <c r="D38" s="40"/>
      <c r="F38" s="46"/>
      <c r="G38" s="53" t="s">
        <v>45</v>
      </c>
      <c r="H38" s="55">
        <f>10*LOG((10^(H36/10)+10^(H37/10)),10)</f>
        <v>61.399611385258545</v>
      </c>
      <c r="I38" s="39" t="str">
        <f>I37</f>
        <v>dBA (Ldn)</v>
      </c>
      <c r="J38" s="39"/>
      <c r="K38" s="40"/>
    </row>
    <row r="39" spans="1:11" ht="17" thickBot="1">
      <c r="A39" s="51"/>
      <c r="B39" s="58"/>
      <c r="C39" s="58"/>
      <c r="D39" s="52"/>
      <c r="F39" s="51"/>
      <c r="G39" s="56" t="s">
        <v>46</v>
      </c>
      <c r="H39" s="57" t="str">
        <f>IF('Intermediate Calculations'!B48&gt;'Intermediate Calculations'!B50,"SEVERE",IF('Intermediate Calculations'!B48&gt;'Intermediate Calculations'!B49,"MODERATE",IF('Intermediate Calculations'!B48=0,"NONE (Quieter than Existing)","LOW")))</f>
        <v>MODERATE</v>
      </c>
      <c r="I39" s="58"/>
      <c r="J39" s="58"/>
      <c r="K39" s="52"/>
    </row>
    <row r="41" spans="1:11">
      <c r="A41" s="31" t="s">
        <v>11</v>
      </c>
    </row>
    <row r="42" spans="1:11">
      <c r="A42" s="32" t="s">
        <v>117</v>
      </c>
      <c r="B42" t="s">
        <v>171</v>
      </c>
    </row>
    <row r="43" spans="1:11">
      <c r="B43" t="s">
        <v>172</v>
      </c>
    </row>
    <row r="44" spans="1:11">
      <c r="B44" t="s">
        <v>175</v>
      </c>
    </row>
    <row r="45" spans="1:11">
      <c r="A45" s="32" t="s">
        <v>118</v>
      </c>
      <c r="B45" t="s">
        <v>218</v>
      </c>
    </row>
    <row r="46" spans="1:11">
      <c r="B46" t="s">
        <v>219</v>
      </c>
    </row>
    <row r="47" spans="1:11">
      <c r="B47" t="s">
        <v>224</v>
      </c>
    </row>
    <row r="48" spans="1:11">
      <c r="B48" t="s">
        <v>222</v>
      </c>
    </row>
    <row r="49" spans="1:7">
      <c r="B49" t="s">
        <v>220</v>
      </c>
    </row>
    <row r="50" spans="1:7">
      <c r="B50" t="s">
        <v>221</v>
      </c>
    </row>
    <row r="51" spans="1:7" ht="55" customHeight="1">
      <c r="A51" s="36" t="s">
        <v>10</v>
      </c>
      <c r="B51" s="37" t="s">
        <v>120</v>
      </c>
      <c r="C51" s="63" t="s">
        <v>116</v>
      </c>
      <c r="D51" s="63"/>
      <c r="E51" s="63"/>
      <c r="F51" s="63"/>
      <c r="G51" s="63"/>
    </row>
    <row r="52" spans="1:7" ht="43" customHeight="1">
      <c r="A52" s="37"/>
      <c r="B52" s="37" t="s">
        <v>121</v>
      </c>
      <c r="C52" s="63" t="s">
        <v>13</v>
      </c>
      <c r="D52" s="63"/>
      <c r="E52" s="63"/>
      <c r="F52" s="63"/>
      <c r="G52" s="63"/>
    </row>
    <row r="53" spans="1:7" ht="94" customHeight="1">
      <c r="A53" s="37"/>
      <c r="B53" s="37" t="s">
        <v>122</v>
      </c>
      <c r="C53" s="63" t="s">
        <v>6</v>
      </c>
      <c r="D53" s="63"/>
      <c r="E53" s="63"/>
      <c r="F53" s="63"/>
      <c r="G53" s="63"/>
    </row>
    <row r="54" spans="1:7">
      <c r="A54" s="32" t="s">
        <v>50</v>
      </c>
      <c r="B54" t="s">
        <v>196</v>
      </c>
      <c r="D54" s="32" t="s">
        <v>1</v>
      </c>
    </row>
    <row r="55" spans="1:7">
      <c r="B55" t="s">
        <v>197</v>
      </c>
    </row>
    <row r="56" spans="1:7">
      <c r="B56" t="s">
        <v>199</v>
      </c>
    </row>
    <row r="57" spans="1:7">
      <c r="B57" t="s">
        <v>200</v>
      </c>
    </row>
    <row r="58" spans="1:7">
      <c r="B58" t="s">
        <v>201</v>
      </c>
    </row>
    <row r="59" spans="1:7">
      <c r="B59" t="s">
        <v>202</v>
      </c>
    </row>
    <row r="60" spans="1:7">
      <c r="B60" t="s">
        <v>203</v>
      </c>
    </row>
    <row r="61" spans="1:7">
      <c r="B61" t="s">
        <v>204</v>
      </c>
    </row>
    <row r="62" spans="1:7">
      <c r="B62" t="s">
        <v>205</v>
      </c>
    </row>
    <row r="63" spans="1:7">
      <c r="B63" t="s">
        <v>206</v>
      </c>
    </row>
  </sheetData>
  <mergeCells count="3">
    <mergeCell ref="C51:G51"/>
    <mergeCell ref="C52:G52"/>
    <mergeCell ref="C53:G53"/>
  </mergeCells>
  <phoneticPr fontId="7" type="noConversion"/>
  <dataValidations count="4">
    <dataValidation type="list" allowBlank="1" showInputMessage="1" showErrorMessage="1" sqref="B19 B30:C30">
      <formula1>$B$42:$B$44</formula1>
    </dataValidation>
    <dataValidation type="list" allowBlank="1" showInputMessage="1" showErrorMessage="1" sqref="B27 B38:C38">
      <formula1>$B$45:$B$50</formula1>
    </dataValidation>
    <dataValidation type="list" allowBlank="1" showInputMessage="1" showErrorMessage="1" sqref="B13">
      <formula1>$B$51:$B$53</formula1>
    </dataValidation>
    <dataValidation type="list" allowBlank="1" showInputMessage="1" showErrorMessage="1" sqref="B14">
      <formula1>$B$54:$B$63</formula1>
    </dataValidation>
  </dataValidations>
  <hyperlinks>
    <hyperlink ref="A2" r:id="rId1"/>
  </hyperlinks>
  <pageMargins left="0.75" right="0.75" top="1" bottom="1" header="0.5" footer="0.5"/>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64"/>
  <sheetViews>
    <sheetView topLeftCell="A2" workbookViewId="0">
      <selection activeCell="B48" sqref="B48"/>
    </sheetView>
  </sheetViews>
  <sheetFormatPr baseColWidth="10" defaultRowHeight="13"/>
  <cols>
    <col min="1" max="1" width="21" customWidth="1"/>
    <col min="2" max="2" width="12.140625" customWidth="1"/>
    <col min="3" max="4" width="10.42578125" customWidth="1"/>
    <col min="6" max="6" width="30.5703125" customWidth="1"/>
  </cols>
  <sheetData>
    <row r="1" spans="1:6">
      <c r="A1" s="16" t="s">
        <v>21</v>
      </c>
    </row>
    <row r="2" spans="1:6">
      <c r="A2" s="17" t="s">
        <v>15</v>
      </c>
      <c r="B2" s="17" t="s">
        <v>16</v>
      </c>
      <c r="C2" s="17" t="s">
        <v>17</v>
      </c>
      <c r="D2" s="17" t="s">
        <v>18</v>
      </c>
      <c r="E2" s="17" t="s">
        <v>19</v>
      </c>
      <c r="F2" s="17" t="s">
        <v>20</v>
      </c>
    </row>
    <row r="3" spans="1:6">
      <c r="A3" t="s">
        <v>153</v>
      </c>
      <c r="B3">
        <f>IF(EXACT('Input Parameters'!$B$19, 'Input Parameters'!$B$42), 'FRA Noise Model Parameters'!D20, IF(EXACT('Input Parameters'!$B$19, 'Input Parameters'!$B$43), 'FRA Noise Model Parameters'!E20, 'FRA Noise Model Parameters'!F20))</f>
        <v>60</v>
      </c>
      <c r="C3">
        <f>IF(EXACT('Input Parameters'!$B$30, 'Input Parameters'!$B$42), 'FRA Noise Model Parameters'!$D20, IF(EXACT('Input Parameters'!$B$30, 'Input Parameters'!$B$43), 'FRA Noise Model Parameters'!$E20, 'FRA Noise Model Parameters'!$F20))</f>
        <v>60</v>
      </c>
      <c r="D3">
        <f>IF(EXACT('Input Parameters'!$C$30, 'Input Parameters'!$B$42), 'FRA Noise Model Parameters'!$D20, IF(EXACT('Input Parameters'!$C$30, 'Input Parameters'!$B$43), 'FRA Noise Model Parameters'!$E20, 'FRA Noise Model Parameters'!$F20))</f>
        <v>60</v>
      </c>
      <c r="E3" t="s">
        <v>162</v>
      </c>
      <c r="F3" s="15"/>
    </row>
    <row r="4" spans="1:6">
      <c r="A4" t="s">
        <v>181</v>
      </c>
      <c r="B4" t="str">
        <f>IF(EXACT('Input Parameters'!$B$19, 'Input Parameters'!$B$42), 'FRA Noise Model Parameters'!D21, IF(EXACT('Input Parameters'!$B$19, 'Input Parameters'!$B$43), 'FRA Noise Model Parameters'!E21, 'FRA Noise Model Parameters'!F21))</f>
        <v>N/A</v>
      </c>
      <c r="C4">
        <f>IF(EXACT('Input Parameters'!$B$30, 'Input Parameters'!$B$42), 'FRA Noise Model Parameters'!$D21, IF(EXACT('Input Parameters'!$B$30, 'Input Parameters'!$B$43), 'FRA Noise Model Parameters'!$E21, 'FRA Noise Model Parameters'!$F21))</f>
        <v>170</v>
      </c>
      <c r="D4">
        <f>IF(EXACT('Input Parameters'!$C$30, 'Input Parameters'!$B$42), 'FRA Noise Model Parameters'!$D21, IF(EXACT('Input Parameters'!$C$30, 'Input Parameters'!$B$43), 'FRA Noise Model Parameters'!$E21, 'FRA Noise Model Parameters'!$F21))</f>
        <v>170</v>
      </c>
      <c r="E4" t="s">
        <v>162</v>
      </c>
      <c r="F4" s="15"/>
    </row>
    <row r="5" spans="1:6">
      <c r="A5" t="s">
        <v>152</v>
      </c>
      <c r="B5">
        <f>IF('Input Parameters'!B23&lt;'Intermediate Calculations'!B3, 1, IF('Input Parameters'!B23&gt;'Intermediate Calculations'!B4, 3, 2))</f>
        <v>2</v>
      </c>
      <c r="C5">
        <f>IF('Input Parameters'!B34&lt;'Intermediate Calculations'!C3, 1, IF('Input Parameters'!B34&gt;'Intermediate Calculations'!C4, 3, 2))</f>
        <v>2</v>
      </c>
      <c r="D5">
        <f>IF('Input Parameters'!C34&lt;'Intermediate Calculations'!D3, 1, IF('Input Parameters'!C34&gt;'Intermediate Calculations'!D4, 3, 2))</f>
        <v>2</v>
      </c>
      <c r="F5" s="15" t="s">
        <v>159</v>
      </c>
    </row>
    <row r="6" spans="1:6">
      <c r="A6" t="s">
        <v>41</v>
      </c>
      <c r="B6">
        <f>IF(EXACT('Input Parameters'!$B$19, 'Input Parameters'!$B$42), CHOOSE(B5,'FRA Noise Model Parameters'!D8, 'FRA Noise Model Parameters'!D9, 'FRA Noise Model Parameters'!D10), IF(EXACT('Input Parameters'!$B$19, 'Input Parameters'!$B$43), CHOOSE('Intermediate Calculations'!B5, 'FRA Noise Model Parameters'!E8, 'FRA Noise Model Parameters'!E9, 'FRA Noise Model Parameters'!E10), CHOOSE('Intermediate Calculations'!B5, 'FRA Noise Model Parameters'!F8, 'FRA Noise Model Parameters'!F9, 'FRA Noise Model Parameters'!F10)))</f>
        <v>94</v>
      </c>
      <c r="C6">
        <f>IF(EXACT('Input Parameters'!B$30, 'Input Parameters'!$B$42), CHOOSE('Intermediate Calculations'!C$5,'FRA Noise Model Parameters'!$D8, 'FRA Noise Model Parameters'!$D9, 'FRA Noise Model Parameters'!$D10), IF(EXACT('Input Parameters'!B$30, 'Input Parameters'!$B$43), CHOOSE('Intermediate Calculations'!C$5, 'FRA Noise Model Parameters'!$E8, 'FRA Noise Model Parameters'!$E9, 'FRA Noise Model Parameters'!$E10), CHOOSE('Intermediate Calculations'!C$5, 'FRA Noise Model Parameters'!$F8, 'FRA Noise Model Parameters'!$F9, 'FRA Noise Model Parameters'!$F10)))</f>
        <v>93</v>
      </c>
      <c r="D6">
        <f>IF(EXACT('Input Parameters'!C$30, 'Input Parameters'!$B$42), CHOOSE('Intermediate Calculations'!D$5,'FRA Noise Model Parameters'!$D8, 'FRA Noise Model Parameters'!$D9, 'FRA Noise Model Parameters'!$D10), IF(EXACT('Input Parameters'!C$30, 'Input Parameters'!$B$43), CHOOSE('Intermediate Calculations'!D$5, 'FRA Noise Model Parameters'!$E8, 'FRA Noise Model Parameters'!$E9, 'FRA Noise Model Parameters'!$E10), CHOOSE('Intermediate Calculations'!D$5, 'FRA Noise Model Parameters'!$F8, 'FRA Noise Model Parameters'!$F9, 'FRA Noise Model Parameters'!$F10)))</f>
        <v>93</v>
      </c>
      <c r="E6" t="s">
        <v>173</v>
      </c>
      <c r="F6" s="15" t="s">
        <v>215</v>
      </c>
    </row>
    <row r="7" spans="1:6">
      <c r="A7" t="s">
        <v>64</v>
      </c>
      <c r="B7">
        <f>IF(EXACT('Input Parameters'!$B$19, 'Input Parameters'!$B$42), CHOOSE(B5,'FRA Noise Model Parameters'!D11, 'FRA Noise Model Parameters'!D12, 'FRA Noise Model Parameters'!D13), IF(EXACT('Input Parameters'!$B$19, 'Input Parameters'!$B$43), CHOOSE('Intermediate Calculations'!B5, 'FRA Noise Model Parameters'!E11, 'FRA Noise Model Parameters'!E12, 'FRA Noise Model Parameters'!E13), CHOOSE('Intermediate Calculations'!B5, 'FRA Noise Model Parameters'!F11, 'FRA Noise Model Parameters'!F12, 'FRA Noise Model Parameters'!F13)))</f>
        <v>16</v>
      </c>
      <c r="C7">
        <f>IF(EXACT('Input Parameters'!B$30, 'Input Parameters'!$B$42), CHOOSE('Intermediate Calculations'!C$5,'FRA Noise Model Parameters'!$D11, 'FRA Noise Model Parameters'!$D12, 'FRA Noise Model Parameters'!$D13), IF(EXACT('Input Parameters'!B$30, 'Input Parameters'!$B$43), CHOOSE('Intermediate Calculations'!C$5, 'FRA Noise Model Parameters'!$E11, 'FRA Noise Model Parameters'!$E12, 'FRA Noise Model Parameters'!$E13), CHOOSE('Intermediate Calculations'!C$5, 'FRA Noise Model Parameters'!$F11, 'FRA Noise Model Parameters'!$F12, 'FRA Noise Model Parameters'!$F13)))</f>
        <v>17</v>
      </c>
      <c r="D7">
        <f>IF(EXACT('Input Parameters'!C$30, 'Input Parameters'!$B$42), CHOOSE('Intermediate Calculations'!D$5,'FRA Noise Model Parameters'!$D11, 'FRA Noise Model Parameters'!$D12, 'FRA Noise Model Parameters'!$D13), IF(EXACT('Input Parameters'!C$30, 'Input Parameters'!$B$43), CHOOSE('Intermediate Calculations'!D$5, 'FRA Noise Model Parameters'!$E11, 'FRA Noise Model Parameters'!$E12, 'FRA Noise Model Parameters'!$E13), CHOOSE('Intermediate Calculations'!D$5, 'FRA Noise Model Parameters'!$F11, 'FRA Noise Model Parameters'!$F12, 'FRA Noise Model Parameters'!$F13)))</f>
        <v>17</v>
      </c>
      <c r="F7" s="15" t="s">
        <v>215</v>
      </c>
    </row>
    <row r="8" spans="1:6">
      <c r="A8" t="s">
        <v>42</v>
      </c>
      <c r="B8">
        <f>IF(EXACT('Input Parameters'!$B$19, 'Input Parameters'!$B$42), CHOOSE(B5,'FRA Noise Model Parameters'!D14, 'FRA Noise Model Parameters'!D15, 'FRA Noise Model Parameters'!D16), IF(EXACT('Input Parameters'!$B$19, 'Input Parameters'!$B$43), CHOOSE('Intermediate Calculations'!B5, 'FRA Noise Model Parameters'!E14, 'FRA Noise Model Parameters'!E15, 'FRA Noise Model Parameters'!E16), CHOOSE('Intermediate Calculations'!B5, 'FRA Noise Model Parameters'!F14, 'FRA Noise Model Parameters'!F15, 'FRA Noise Model Parameters'!F16)))</f>
        <v>90</v>
      </c>
      <c r="C8">
        <f>IF(EXACT('Input Parameters'!B$30, 'Input Parameters'!$B$42), CHOOSE('Intermediate Calculations'!C$5,'FRA Noise Model Parameters'!$D14, 'FRA Noise Model Parameters'!$D15, 'FRA Noise Model Parameters'!$D16), IF(EXACT('Input Parameters'!B$30, 'Input Parameters'!$B$43), CHOOSE('Intermediate Calculations'!C$5, 'FRA Noise Model Parameters'!$E14, 'FRA Noise Model Parameters'!$E15, 'FRA Noise Model Parameters'!$E16), CHOOSE('Intermediate Calculations'!C$5, 'FRA Noise Model Parameters'!$F14, 'FRA Noise Model Parameters'!$F15, 'FRA Noise Model Parameters'!$F16)))</f>
        <v>90</v>
      </c>
      <c r="D8">
        <f>IF(EXACT('Input Parameters'!C$30, 'Input Parameters'!$B$42), CHOOSE('Intermediate Calculations'!D$5,'FRA Noise Model Parameters'!$D14, 'FRA Noise Model Parameters'!$D15, 'FRA Noise Model Parameters'!$D16), IF(EXACT('Input Parameters'!C$30, 'Input Parameters'!$B$43), CHOOSE('Intermediate Calculations'!D$5, 'FRA Noise Model Parameters'!$E14, 'FRA Noise Model Parameters'!$E15, 'FRA Noise Model Parameters'!$E16), CHOOSE('Intermediate Calculations'!D$5, 'FRA Noise Model Parameters'!$F14, 'FRA Noise Model Parameters'!$F15, 'FRA Noise Model Parameters'!$F16)))</f>
        <v>90</v>
      </c>
      <c r="E8" t="s">
        <v>161</v>
      </c>
      <c r="F8" s="15" t="s">
        <v>215</v>
      </c>
    </row>
    <row r="9" spans="1:6">
      <c r="A9" t="s">
        <v>157</v>
      </c>
      <c r="B9">
        <f>'Input Parameters'!B23</f>
        <v>79</v>
      </c>
      <c r="C9">
        <f>'Input Parameters'!B34</f>
        <v>110</v>
      </c>
      <c r="D9">
        <f>'Input Parameters'!C34</f>
        <v>125</v>
      </c>
      <c r="E9" t="s">
        <v>158</v>
      </c>
      <c r="F9" s="15"/>
    </row>
    <row r="10" spans="1:6">
      <c r="A10" t="s">
        <v>43</v>
      </c>
      <c r="B10">
        <f>IF(EXACT('Input Parameters'!$B$19, 'Input Parameters'!$B$42), CHOOSE(B5,'FRA Noise Model Parameters'!D17, 'FRA Noise Model Parameters'!D18, 'FRA Noise Model Parameters'!D19), IF(EXACT('Input Parameters'!$B$19, 'Input Parameters'!$B$43), CHOOSE('Intermediate Calculations'!B5, 'FRA Noise Model Parameters'!E17, 'FRA Noise Model Parameters'!E18, 'FRA Noise Model Parameters'!E19), CHOOSE('Intermediate Calculations'!B5, 'FRA Noise Model Parameters'!F17, 'FRA Noise Model Parameters'!F18, 'FRA Noise Model Parameters'!F19)))</f>
        <v>664</v>
      </c>
      <c r="C10">
        <f>IF(EXACT('Input Parameters'!B$30, 'Input Parameters'!$B$42), CHOOSE('Intermediate Calculations'!C$5,'FRA Noise Model Parameters'!$D17, 'FRA Noise Model Parameters'!$D18, 'FRA Noise Model Parameters'!$D19), IF(EXACT('Input Parameters'!B$30, 'Input Parameters'!$B$43), CHOOSE('Intermediate Calculations'!C$5, 'FRA Noise Model Parameters'!$E17, 'FRA Noise Model Parameters'!$E18, 'FRA Noise Model Parameters'!$E19), CHOOSE('Intermediate Calculations'!C$5, 'FRA Noise Model Parameters'!$F17, 'FRA Noise Model Parameters'!$F18, 'FRA Noise Model Parameters'!$F19)))</f>
        <v>664</v>
      </c>
      <c r="D10">
        <f>IF(EXACT('Input Parameters'!C$30, 'Input Parameters'!$B$42), CHOOSE('Intermediate Calculations'!D$5,'FRA Noise Model Parameters'!$D17, 'FRA Noise Model Parameters'!$D18, 'FRA Noise Model Parameters'!$D19), IF(EXACT('Input Parameters'!C$30, 'Input Parameters'!$B$43), CHOOSE('Intermediate Calculations'!D$5, 'FRA Noise Model Parameters'!$E17, 'FRA Noise Model Parameters'!$E18, 'FRA Noise Model Parameters'!$E19), CHOOSE('Intermediate Calculations'!D$5, 'FRA Noise Model Parameters'!$F17, 'FRA Noise Model Parameters'!$F18, 'FRA Noise Model Parameters'!$F19)))</f>
        <v>664</v>
      </c>
      <c r="E10" t="s">
        <v>154</v>
      </c>
      <c r="F10" s="15" t="s">
        <v>215</v>
      </c>
    </row>
    <row r="11" spans="1:6">
      <c r="A11" t="s">
        <v>155</v>
      </c>
      <c r="B11">
        <f>CHOOSE(B5, 'Input Parameters'!B21,'Input Parameters'!B20,'Input Parameters'!B22)</f>
        <v>495</v>
      </c>
      <c r="C11">
        <f>CHOOSE(C5, 'Input Parameters'!B32,'Input Parameters'!B31,'Input Parameters'!B33)</f>
        <v>510</v>
      </c>
      <c r="D11">
        <f>CHOOSE(D5, 'Input Parameters'!C32,'Input Parameters'!C31,'Input Parameters'!C33)</f>
        <v>1300</v>
      </c>
      <c r="E11" t="s">
        <v>163</v>
      </c>
      <c r="F11" s="15" t="s">
        <v>156</v>
      </c>
    </row>
    <row r="12" spans="1:6">
      <c r="F12" s="15"/>
    </row>
    <row r="13" spans="1:6">
      <c r="A13" t="s">
        <v>151</v>
      </c>
      <c r="B13" s="9">
        <f>B6+B7*LOG(B9/B8, 10)+10*LOG(B11/B10, 10)</f>
        <v>91.818524505273373</v>
      </c>
      <c r="C13" s="14">
        <f t="shared" ref="C13:D13" si="0">C6+C7*LOG(C9/C8, 10)+10*LOG(C11/C10, 10)</f>
        <v>93.335573954520498</v>
      </c>
      <c r="D13" s="14">
        <f t="shared" si="0"/>
        <v>98.34310029005664</v>
      </c>
      <c r="E13" t="s">
        <v>216</v>
      </c>
      <c r="F13" s="15" t="s">
        <v>217</v>
      </c>
    </row>
    <row r="14" spans="1:6">
      <c r="F14" s="15"/>
    </row>
    <row r="15" spans="1:6">
      <c r="A15" s="16" t="s">
        <v>22</v>
      </c>
      <c r="F15" s="15"/>
    </row>
    <row r="16" spans="1:6">
      <c r="A16" t="s">
        <v>106</v>
      </c>
      <c r="B16">
        <f>IF(EXACT('Input Parameters'!B27,'Input Parameters'!$B$45), CHOOSE('Intermediate Calculations'!B5, 'FRA Noise Model Parameters'!$D$31,'FRA Noise Model Parameters'!$D$32,'FRA Noise Model Parameters'!$D$33), IF(EXACT('Input Parameters'!B27,'Input Parameters'!$B$46), CHOOSE('Intermediate Calculations'!B5,'FRA Noise Model Parameters'!$D$34,'FRA Noise Model Parameters'!$D$35,'FRA Noise Model Parameters'!$D$36), IF(EXACT('Input Parameters'!B27,'Input Parameters'!$B$47), 0, IF(EXACT('Input Parameters'!B27,'Input Parameters'!$B$48), CHOOSE('Intermediate Calculations'!B5,'FRA Noise Model Parameters'!$D$37,'FRA Noise Model Parameters'!$D$38,'FRA Noise Model Parameters'!$D$39), IF(EXACT('Input Parameters'!B27,'Input Parameters'!$B$49), CHOOSE('Intermediate Calculations'!B5,'FRA Noise Model Parameters'!$D$25,'FRA Noise Model Parameters'!$D$26,'FRA Noise Model Parameters'!$D$27), CHOOSE('Intermediate Calculations'!B5, 'FRA Noise Model Parameters'!$D$28,'FRA Noise Model Parameters'!$D$29,'FRA Noise Model Parameters'!$D$30))))))</f>
        <v>0</v>
      </c>
      <c r="C16">
        <f>IF(EXACT('Input Parameters'!B38,'Input Parameters'!$B$45), CHOOSE('Intermediate Calculations'!C5, 'FRA Noise Model Parameters'!$D$31,'FRA Noise Model Parameters'!$D$32,'FRA Noise Model Parameters'!$D$33), IF(EXACT('Input Parameters'!B38,'Input Parameters'!$B$46), CHOOSE('Intermediate Calculations'!C5,'FRA Noise Model Parameters'!$D$34,'FRA Noise Model Parameters'!$D$35,'FRA Noise Model Parameters'!$D$36), IF(EXACT('Input Parameters'!B38,'Input Parameters'!$B$47), 0, IF(EXACT('Input Parameters'!B38,'Input Parameters'!$B$48), CHOOSE('Intermediate Calculations'!C5,'FRA Noise Model Parameters'!$D$37,'FRA Noise Model Parameters'!$D$38,'FRA Noise Model Parameters'!$D$39), IF(EXACT('Input Parameters'!B38,'Input Parameters'!$B$49), CHOOSE('Intermediate Calculations'!C5,'FRA Noise Model Parameters'!$D$25,'FRA Noise Model Parameters'!$D$26,'FRA Noise Model Parameters'!$D$27), CHOOSE('Intermediate Calculations'!C5, 'FRA Noise Model Parameters'!$D$28,'FRA Noise Model Parameters'!$D$29,'FRA Noise Model Parameters'!$D$30))))))</f>
        <v>-5</v>
      </c>
      <c r="D16">
        <f>IF(EXACT('Input Parameters'!C38,'Input Parameters'!$B$45), CHOOSE('Intermediate Calculations'!D5, 'FRA Noise Model Parameters'!$D$31,'FRA Noise Model Parameters'!$D$32,'FRA Noise Model Parameters'!$D$33), IF(EXACT('Input Parameters'!C38,'Input Parameters'!$B$46), CHOOSE('Intermediate Calculations'!D5,'FRA Noise Model Parameters'!$D$34,'FRA Noise Model Parameters'!$D$35,'FRA Noise Model Parameters'!$D$36), IF(EXACT('Input Parameters'!C38,'Input Parameters'!$B$47), 0, IF(EXACT('Input Parameters'!C38,'Input Parameters'!$B$48), CHOOSE('Intermediate Calculations'!D5,'FRA Noise Model Parameters'!$D$37,'FRA Noise Model Parameters'!$D$38,'FRA Noise Model Parameters'!$D$39), IF(EXACT('Input Parameters'!C38,'Input Parameters'!$B$49), CHOOSE('Intermediate Calculations'!D5,'FRA Noise Model Parameters'!$D$25,'FRA Noise Model Parameters'!$D$26,'FRA Noise Model Parameters'!$D$27), CHOOSE('Intermediate Calculations'!D5, 'FRA Noise Model Parameters'!$D$28,'FRA Noise Model Parameters'!$D$29,'FRA Noise Model Parameters'!$D$30))))))</f>
        <v>-5</v>
      </c>
      <c r="E16" t="s">
        <v>105</v>
      </c>
      <c r="F16" s="15"/>
    </row>
    <row r="17" spans="1:6">
      <c r="F17" s="15"/>
    </row>
    <row r="18" spans="1:6" s="16" customFormat="1">
      <c r="A18" s="16" t="s">
        <v>23</v>
      </c>
      <c r="F18" s="18"/>
    </row>
    <row r="19" spans="1:6" ht="26">
      <c r="A19" t="s">
        <v>107</v>
      </c>
      <c r="B19" s="12">
        <f>B13+10*LOG(2*'Input Parameters'!B24, 10) + 'Intermediate Calculations'!B16-35.6</f>
        <v>66.218524505273365</v>
      </c>
      <c r="C19" s="14">
        <f>C13+10*LOG(2*'Input Parameters'!B35, 10) + 'Intermediate Calculations'!C16-35.6</f>
        <v>63.527386414996748</v>
      </c>
      <c r="D19" s="14">
        <f>D13+10*LOG(2*'Input Parameters'!C35, 10) + 'Intermediate Calculations'!D16-35.6</f>
        <v>66.774000159976083</v>
      </c>
      <c r="E19" t="s">
        <v>77</v>
      </c>
      <c r="F19" s="15" t="s">
        <v>110</v>
      </c>
    </row>
    <row r="20" spans="1:6">
      <c r="A20" t="s">
        <v>108</v>
      </c>
      <c r="B20" s="13">
        <f>B13+10*LOG('Input Parameters'!B25/15, 10) + 'Intermediate Calculations'!B16-35.6</f>
        <v>63.488511784635996</v>
      </c>
      <c r="C20" s="14">
        <f>C13+10*LOG('Input Parameters'!B36/15, 10) + 'Intermediate Calculations'!C16-35.6</f>
        <v>60.974661363963683</v>
      </c>
      <c r="D20" s="14">
        <f>D13+10*LOG('Input Parameters'!C36/15, 10) + 'Intermediate Calculations'!D16-35.6</f>
        <v>65.524612793893084</v>
      </c>
      <c r="E20" t="s">
        <v>77</v>
      </c>
      <c r="F20" s="15" t="s">
        <v>109</v>
      </c>
    </row>
    <row r="21" spans="1:6">
      <c r="A21" t="s">
        <v>208</v>
      </c>
      <c r="B21" s="14">
        <f>B13+10*LOG('Input Parameters'!B26/9, 10) + 'Intermediate Calculations'!B16-35.6</f>
        <v>56.67609941088012</v>
      </c>
      <c r="C21" s="14">
        <f>C13+10*LOG('Input Parameters'!B37/9, 10) + 'Intermediate Calculations'!C16-35.6</f>
        <v>54.954061450684058</v>
      </c>
      <c r="D21" s="14">
        <f>D13+10*LOG('Input Parameters'!C37/9, 10) + 'Intermediate Calculations'!D16-35.6</f>
        <v>61.210975152303199</v>
      </c>
      <c r="E21" t="s">
        <v>77</v>
      </c>
      <c r="F21" s="15" t="s">
        <v>210</v>
      </c>
    </row>
    <row r="22" spans="1:6">
      <c r="A22" t="s">
        <v>211</v>
      </c>
      <c r="B22" s="14">
        <f>10*LOG(15*10^(B20/10)+9*10^((B21+10)/10), 10)-13.8</f>
        <v>64.971249556306432</v>
      </c>
      <c r="C22" s="14">
        <f t="shared" ref="C22:D22" si="1">10*LOG(15*10^(C20/10)+9*10^((C21+10)/10), 10)-13.8</f>
        <v>62.914974041240882</v>
      </c>
      <c r="D22" s="14">
        <f t="shared" si="1"/>
        <v>68.567080269046215</v>
      </c>
      <c r="E22" t="s">
        <v>77</v>
      </c>
      <c r="F22" s="15" t="s">
        <v>210</v>
      </c>
    </row>
    <row r="23" spans="1:6">
      <c r="F23" s="15"/>
    </row>
    <row r="24" spans="1:6">
      <c r="A24" s="16" t="s">
        <v>24</v>
      </c>
      <c r="F24" s="15"/>
    </row>
    <row r="25" spans="1:6">
      <c r="A25" t="s">
        <v>25</v>
      </c>
      <c r="B25" s="19">
        <f>B19-15*LOG('Input Parameters'!$B$11/50, 10)</f>
        <v>61.703074570313646</v>
      </c>
      <c r="C25" s="19">
        <f>C19-15*LOG('Input Parameters'!$B$11/50, 10)</f>
        <v>59.011936480037029</v>
      </c>
      <c r="D25" s="19">
        <f>D19-15*LOG('Input Parameters'!$B$11/50, 10)</f>
        <v>62.258550225016364</v>
      </c>
      <c r="E25" t="s">
        <v>160</v>
      </c>
      <c r="F25" s="15" t="s">
        <v>29</v>
      </c>
    </row>
    <row r="26" spans="1:6">
      <c r="A26" t="s">
        <v>26</v>
      </c>
      <c r="B26" s="19">
        <f>B20-15*LOG('Input Parameters'!$B$11/50, 10)</f>
        <v>58.973061849676277</v>
      </c>
      <c r="C26" s="19">
        <f>C20-15*LOG('Input Parameters'!$B$11/50, 10)</f>
        <v>56.459211429003965</v>
      </c>
      <c r="D26" s="19">
        <f>D20-15*LOG('Input Parameters'!$B$11/50, 10)</f>
        <v>61.009162858933365</v>
      </c>
      <c r="E26" t="s">
        <v>160</v>
      </c>
      <c r="F26" s="15"/>
    </row>
    <row r="27" spans="1:6">
      <c r="A27" t="s">
        <v>27</v>
      </c>
      <c r="B27" s="19">
        <f>B21-15*LOG('Input Parameters'!$B$11/50, 10)</f>
        <v>52.160649475920401</v>
      </c>
      <c r="C27" s="19">
        <f>C21-15*LOG('Input Parameters'!$B$11/50, 10)</f>
        <v>50.43861151572434</v>
      </c>
      <c r="D27" s="19">
        <f>D21-15*LOG('Input Parameters'!$B$11/50, 10)</f>
        <v>56.69552521734348</v>
      </c>
      <c r="E27" t="s">
        <v>160</v>
      </c>
      <c r="F27" s="15"/>
    </row>
    <row r="28" spans="1:6">
      <c r="A28" t="s">
        <v>28</v>
      </c>
      <c r="B28" s="19">
        <f>B22-15*LOG('Input Parameters'!$B$11/50, 10)</f>
        <v>60.455799621346713</v>
      </c>
      <c r="C28" s="19">
        <f>C22-15*LOG('Input Parameters'!$B$11/50, 10)</f>
        <v>58.399524106281163</v>
      </c>
      <c r="D28" s="19">
        <f>D22-15*LOG('Input Parameters'!$B$11/50, 10)</f>
        <v>64.051630334086497</v>
      </c>
      <c r="E28" t="s">
        <v>160</v>
      </c>
      <c r="F28" s="15"/>
    </row>
    <row r="29" spans="1:6">
      <c r="F29" s="15"/>
    </row>
    <row r="30" spans="1:6">
      <c r="A30" s="16" t="s">
        <v>30</v>
      </c>
      <c r="F30" s="15"/>
    </row>
    <row r="31" spans="1:6">
      <c r="A31" t="s">
        <v>31</v>
      </c>
      <c r="B31">
        <f>IF('Input Parameters'!$B$12&gt;0, 3, 0)</f>
        <v>3</v>
      </c>
      <c r="C31">
        <f>IF('Input Parameters'!$B$12&gt;0, 3, 0)</f>
        <v>3</v>
      </c>
      <c r="D31">
        <f>IF('Input Parameters'!$B$12&gt;0, 3, 0)</f>
        <v>3</v>
      </c>
      <c r="E31" t="s">
        <v>32</v>
      </c>
      <c r="F31" s="15" t="s">
        <v>9</v>
      </c>
    </row>
    <row r="32" spans="1:6" ht="26">
      <c r="A32" t="s">
        <v>33</v>
      </c>
      <c r="B32">
        <f>MAX(MIN(7, 1.5*('Input Parameters'!$B$12-1)),0)</f>
        <v>0</v>
      </c>
      <c r="C32">
        <f>MAX(MIN(7, 1.5*('Input Parameters'!$B$12-1)),0)</f>
        <v>0</v>
      </c>
      <c r="D32">
        <f>MAX(MIN(7, 1.5*('Input Parameters'!$B$12-1)),0)</f>
        <v>0</v>
      </c>
      <c r="E32" t="s">
        <v>34</v>
      </c>
      <c r="F32" s="15" t="s">
        <v>111</v>
      </c>
    </row>
    <row r="33" spans="1:6">
      <c r="A33" t="s">
        <v>36</v>
      </c>
      <c r="B33">
        <f>B31+B32</f>
        <v>3</v>
      </c>
      <c r="C33">
        <f t="shared" ref="C33:D33" si="2">C31+C32</f>
        <v>3</v>
      </c>
      <c r="D33">
        <f t="shared" si="2"/>
        <v>3</v>
      </c>
      <c r="E33" t="s">
        <v>34</v>
      </c>
      <c r="F33" s="15"/>
    </row>
    <row r="34" spans="1:6">
      <c r="F34" s="15"/>
    </row>
    <row r="35" spans="1:6">
      <c r="A35" t="s">
        <v>37</v>
      </c>
      <c r="B35" s="19">
        <f>B25-B$33</f>
        <v>58.703074570313646</v>
      </c>
      <c r="C35" s="19">
        <f t="shared" ref="C35:D35" si="3">C25-C$33</f>
        <v>56.011936480037029</v>
      </c>
      <c r="D35" s="19">
        <f t="shared" si="3"/>
        <v>59.258550225016364</v>
      </c>
      <c r="E35" t="s">
        <v>32</v>
      </c>
      <c r="F35" s="15"/>
    </row>
    <row r="36" spans="1:6">
      <c r="A36" t="s">
        <v>38</v>
      </c>
      <c r="B36" s="19">
        <f t="shared" ref="B36:D38" si="4">B26-B$33</f>
        <v>55.973061849676277</v>
      </c>
      <c r="C36" s="19">
        <f t="shared" si="4"/>
        <v>53.459211429003965</v>
      </c>
      <c r="D36" s="19">
        <f t="shared" si="4"/>
        <v>58.009162858933365</v>
      </c>
      <c r="E36" t="s">
        <v>32</v>
      </c>
      <c r="F36" s="15"/>
    </row>
    <row r="37" spans="1:6">
      <c r="A37" t="s">
        <v>39</v>
      </c>
      <c r="B37" s="19">
        <f t="shared" si="4"/>
        <v>49.160649475920401</v>
      </c>
      <c r="C37" s="19">
        <f t="shared" si="4"/>
        <v>47.43861151572434</v>
      </c>
      <c r="D37" s="19">
        <f t="shared" si="4"/>
        <v>53.69552521734348</v>
      </c>
      <c r="E37" t="s">
        <v>32</v>
      </c>
      <c r="F37" s="15"/>
    </row>
    <row r="38" spans="1:6">
      <c r="A38" t="s">
        <v>40</v>
      </c>
      <c r="B38" s="19">
        <f t="shared" si="4"/>
        <v>57.455799621346713</v>
      </c>
      <c r="C38" s="19">
        <f t="shared" si="4"/>
        <v>55.399524106281163</v>
      </c>
      <c r="D38" s="19">
        <f t="shared" si="4"/>
        <v>61.051630334086497</v>
      </c>
      <c r="E38" t="s">
        <v>32</v>
      </c>
      <c r="F38" s="15"/>
    </row>
    <row r="39" spans="1:6">
      <c r="F39" s="15"/>
    </row>
    <row r="40" spans="1:6">
      <c r="A40" s="16" t="s">
        <v>123</v>
      </c>
      <c r="F40" s="15"/>
    </row>
    <row r="41" spans="1:6" ht="39">
      <c r="A41" t="s">
        <v>183</v>
      </c>
      <c r="B41" s="20">
        <f>IF(10^(D35/10)+10^(C35/10)-10^(B35/10) &gt; 0, 10*LOG(10^(D35/10)+10^(C35/10)-10^(B35/10),10), 0)</f>
        <v>56.993354475574385</v>
      </c>
      <c r="E41" t="s">
        <v>115</v>
      </c>
      <c r="F41" s="21" t="s">
        <v>180</v>
      </c>
    </row>
    <row r="42" spans="1:6">
      <c r="A42" t="s">
        <v>184</v>
      </c>
      <c r="B42" s="29">
        <f t="shared" ref="B42:B44" si="5">IF(10^(D36/10)+10^(C36/10)-10^(B36/10) &gt; 0, 10*LOG(10^(D36/10)+10^(C36/10)-10^(B36/10),10), 0)</f>
        <v>56.612672234410965</v>
      </c>
      <c r="E42" t="s">
        <v>115</v>
      </c>
      <c r="F42" s="15"/>
    </row>
    <row r="43" spans="1:6">
      <c r="A43" t="s">
        <v>185</v>
      </c>
      <c r="B43" s="29">
        <f t="shared" si="5"/>
        <v>53.163901109626735</v>
      </c>
      <c r="E43" t="s">
        <v>115</v>
      </c>
      <c r="F43" s="15"/>
    </row>
    <row r="44" spans="1:6">
      <c r="A44" t="s">
        <v>186</v>
      </c>
      <c r="B44" s="29">
        <f t="shared" si="5"/>
        <v>60.26955091194835</v>
      </c>
      <c r="E44" t="s">
        <v>115</v>
      </c>
      <c r="F44" s="15"/>
    </row>
    <row r="45" spans="1:6">
      <c r="F45" s="15"/>
    </row>
    <row r="46" spans="1:6">
      <c r="A46" s="16" t="s">
        <v>127</v>
      </c>
      <c r="F46" s="15"/>
    </row>
    <row r="47" spans="1:6">
      <c r="A47" t="s">
        <v>7</v>
      </c>
      <c r="B47">
        <f>IF(EXACT('Input Parameters'!B13,'Input Parameters'!B52),IF(ISBLANK('Input Parameters'!B15), 'FRA Noise Impact Criteria'!H53, 'Input Parameters'!B15),IF(ISBLANK('Input Parameters'!B16),'FRA Noise Impact Criteria'!H53, 'Input Parameters'!B16))</f>
        <v>55</v>
      </c>
      <c r="E47" t="str">
        <f>IF(EXACT('Input Parameters'!B$13,'Input Parameters'!B$52),"dBA (Ldn)","dBA (Leq(hr))")</f>
        <v>dBA (Ldn)</v>
      </c>
      <c r="F47" t="s">
        <v>177</v>
      </c>
    </row>
    <row r="48" spans="1:6" ht="26">
      <c r="A48" t="s">
        <v>8</v>
      </c>
      <c r="B48" s="27">
        <f>IF(EXACT('Input Parameters'!B13,'Input Parameters'!B52), 'Intermediate Calculations'!B44, 'Intermediate Calculations'!B41)</f>
        <v>60.26955091194835</v>
      </c>
      <c r="E48" t="str">
        <f>IF(EXACT('Input Parameters'!B$13,'Input Parameters'!B$52),"dBA (Ldn)","dBA (Leq(hr))")</f>
        <v>dBA (Ldn)</v>
      </c>
      <c r="F48" s="21" t="s">
        <v>119</v>
      </c>
    </row>
    <row r="49" spans="1:6" ht="26">
      <c r="A49" t="s">
        <v>124</v>
      </c>
      <c r="B49" s="28">
        <f>IF(EXACT('Input Parameters'!B13,'Input Parameters'!B53), IF(B47&lt;42,16.45+0.953*B47, IF(B47&gt;71, 70, 76.662-1.164*B47+0.018*B47*B47-0.00004088*B47*B47*B47)), IF(B47&lt;42,11.45+0.953*B47, IF(B47&gt;71, 65, 71.662-1.164*B47+0.018*B47*B47-0.00004088*B47*B47*B47)))</f>
        <v>55.290590000000009</v>
      </c>
      <c r="E49" t="str">
        <f>IF(EXACT('Input Parameters'!B$13,'Input Parameters'!B$52),"dBA (Ldn)","dBA (Leq(hr))")</f>
        <v>dBA (Ldn)</v>
      </c>
      <c r="F49" s="21" t="s">
        <v>126</v>
      </c>
    </row>
    <row r="50" spans="1:6" ht="26">
      <c r="A50" t="s">
        <v>125</v>
      </c>
      <c r="B50" s="29">
        <f>IF(EXACT('Input Parameters'!B13,'Input Parameters'!B53), IF(B47&lt;44,22.322+0.94*B47, IF(B47&gt;77, 80, 101.725-1.992*B47+0.0302*B47*B47-0.0001043*B47*B47*B47)), IF(B47&lt;44,17.322+0.94*B47, IF(B47&gt;77, 75, 96.725-1.992*B47+0.0302*B47*B47-0.0001043*B47*B47*B47)))</f>
        <v>61.167087499999994</v>
      </c>
      <c r="E50" t="str">
        <f>IF(EXACT('Input Parameters'!B$13,'Input Parameters'!B$52),"dBA (Ldn)","dBA (Leq(hr))")</f>
        <v>dBA (Ldn)</v>
      </c>
      <c r="F50" s="21" t="s">
        <v>126</v>
      </c>
    </row>
    <row r="51" spans="1:6">
      <c r="F51" s="15"/>
    </row>
    <row r="52" spans="1:6">
      <c r="F52" s="15"/>
    </row>
    <row r="53" spans="1:6">
      <c r="F53" s="15"/>
    </row>
    <row r="54" spans="1:6">
      <c r="F54" s="15"/>
    </row>
    <row r="55" spans="1:6">
      <c r="F55" s="15"/>
    </row>
    <row r="56" spans="1:6">
      <c r="F56" s="15"/>
    </row>
    <row r="57" spans="1:6">
      <c r="F57" s="15"/>
    </row>
    <row r="58" spans="1:6">
      <c r="F58" s="15"/>
    </row>
    <row r="59" spans="1:6">
      <c r="F59" s="15"/>
    </row>
    <row r="60" spans="1:6">
      <c r="F60" s="15"/>
    </row>
    <row r="61" spans="1:6">
      <c r="F61" s="15"/>
    </row>
    <row r="62" spans="1:6">
      <c r="F62" s="15"/>
    </row>
    <row r="63" spans="1:6">
      <c r="F63" s="15"/>
    </row>
    <row r="64" spans="1:6">
      <c r="F64" s="15"/>
    </row>
  </sheetData>
  <phoneticPr fontId="7"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39"/>
  <sheetViews>
    <sheetView workbookViewId="0">
      <selection sqref="A1:A3"/>
    </sheetView>
  </sheetViews>
  <sheetFormatPr baseColWidth="10" defaultRowHeight="13"/>
  <cols>
    <col min="1" max="1" width="17.42578125" customWidth="1"/>
    <col min="2" max="2" width="12.28515625" customWidth="1"/>
    <col min="3" max="3" width="13.28515625" customWidth="1"/>
    <col min="7" max="7" width="5.85546875" customWidth="1"/>
  </cols>
  <sheetData>
    <row r="1" spans="1:7">
      <c r="A1" t="s">
        <v>88</v>
      </c>
    </row>
    <row r="2" spans="1:7">
      <c r="A2" t="s">
        <v>89</v>
      </c>
    </row>
    <row r="3" spans="1:7">
      <c r="A3" s="7" t="s">
        <v>90</v>
      </c>
    </row>
    <row r="4" spans="1:7">
      <c r="A4" s="6" t="s">
        <v>136</v>
      </c>
    </row>
    <row r="5" spans="1:7">
      <c r="A5" s="64" t="s">
        <v>79</v>
      </c>
      <c r="B5" s="64" t="s">
        <v>80</v>
      </c>
      <c r="C5" s="64" t="s">
        <v>81</v>
      </c>
      <c r="D5" s="64" t="s">
        <v>82</v>
      </c>
      <c r="E5" s="64"/>
      <c r="F5" s="64"/>
      <c r="G5" s="64" t="s">
        <v>83</v>
      </c>
    </row>
    <row r="6" spans="1:7">
      <c r="A6" s="64"/>
      <c r="B6" s="64"/>
      <c r="C6" s="64"/>
      <c r="D6" s="64" t="s">
        <v>84</v>
      </c>
      <c r="E6" s="64"/>
      <c r="F6" s="64" t="s">
        <v>85</v>
      </c>
      <c r="G6" s="64"/>
    </row>
    <row r="7" spans="1:7">
      <c r="A7" s="64"/>
      <c r="B7" s="64"/>
      <c r="C7" s="64"/>
      <c r="D7" s="5" t="s">
        <v>86</v>
      </c>
      <c r="E7" s="5" t="s">
        <v>87</v>
      </c>
      <c r="F7" s="64"/>
      <c r="G7" s="64"/>
    </row>
    <row r="8" spans="1:7">
      <c r="A8" s="65" t="s">
        <v>176</v>
      </c>
      <c r="B8" s="65" t="s">
        <v>63</v>
      </c>
      <c r="C8" s="2" t="s">
        <v>66</v>
      </c>
      <c r="D8" s="2">
        <v>89</v>
      </c>
      <c r="E8" s="2">
        <v>87</v>
      </c>
      <c r="F8" s="2">
        <v>72</v>
      </c>
      <c r="G8" s="8" t="s">
        <v>77</v>
      </c>
    </row>
    <row r="9" spans="1:7">
      <c r="A9" s="65"/>
      <c r="B9" s="65"/>
      <c r="C9" s="2" t="s">
        <v>67</v>
      </c>
      <c r="D9" s="2">
        <v>93</v>
      </c>
      <c r="E9" s="2">
        <v>94</v>
      </c>
      <c r="F9" s="2">
        <v>73</v>
      </c>
      <c r="G9" s="8" t="s">
        <v>77</v>
      </c>
    </row>
    <row r="10" spans="1:7">
      <c r="A10" s="65"/>
      <c r="B10" s="65"/>
      <c r="C10" s="2" t="s">
        <v>68</v>
      </c>
      <c r="D10" s="2">
        <v>99</v>
      </c>
      <c r="E10" s="2" t="s">
        <v>78</v>
      </c>
      <c r="F10" s="2">
        <v>78</v>
      </c>
      <c r="G10" s="8" t="s">
        <v>160</v>
      </c>
    </row>
    <row r="11" spans="1:7">
      <c r="A11" s="65" t="s">
        <v>65</v>
      </c>
      <c r="B11" s="65" t="s">
        <v>64</v>
      </c>
      <c r="C11" s="2" t="s">
        <v>69</v>
      </c>
      <c r="D11" s="2">
        <v>3</v>
      </c>
      <c r="E11" s="2">
        <v>5</v>
      </c>
      <c r="F11" s="2">
        <v>2</v>
      </c>
      <c r="G11" s="8"/>
    </row>
    <row r="12" spans="1:7">
      <c r="A12" s="65"/>
      <c r="B12" s="65"/>
      <c r="C12" s="2" t="s">
        <v>67</v>
      </c>
      <c r="D12" s="2">
        <v>17</v>
      </c>
      <c r="E12" s="2">
        <v>16</v>
      </c>
      <c r="F12" s="2">
        <v>17</v>
      </c>
      <c r="G12" s="8"/>
    </row>
    <row r="13" spans="1:7">
      <c r="A13" s="65"/>
      <c r="B13" s="65"/>
      <c r="C13" s="2" t="s">
        <v>68</v>
      </c>
      <c r="D13" s="2">
        <v>47</v>
      </c>
      <c r="E13" s="2" t="s">
        <v>78</v>
      </c>
      <c r="F13" s="2">
        <v>50</v>
      </c>
      <c r="G13" s="8"/>
    </row>
    <row r="14" spans="1:7">
      <c r="A14" s="65" t="s">
        <v>70</v>
      </c>
      <c r="B14" s="65" t="s">
        <v>71</v>
      </c>
      <c r="C14" s="2" t="s">
        <v>69</v>
      </c>
      <c r="D14" s="2">
        <v>20</v>
      </c>
      <c r="E14" s="2">
        <v>20</v>
      </c>
      <c r="F14" s="2">
        <v>20</v>
      </c>
      <c r="G14" s="8" t="s">
        <v>161</v>
      </c>
    </row>
    <row r="15" spans="1:7">
      <c r="A15" s="65"/>
      <c r="B15" s="65"/>
      <c r="C15" s="2" t="s">
        <v>67</v>
      </c>
      <c r="D15" s="2">
        <v>90</v>
      </c>
      <c r="E15" s="2">
        <v>90</v>
      </c>
      <c r="F15" s="2">
        <v>60</v>
      </c>
      <c r="G15" s="8" t="s">
        <v>162</v>
      </c>
    </row>
    <row r="16" spans="1:7">
      <c r="A16" s="65"/>
      <c r="B16" s="65"/>
      <c r="C16" s="2" t="s">
        <v>72</v>
      </c>
      <c r="D16" s="2">
        <v>180</v>
      </c>
      <c r="E16" s="2" t="s">
        <v>78</v>
      </c>
      <c r="F16" s="2">
        <v>120</v>
      </c>
      <c r="G16" s="8" t="s">
        <v>162</v>
      </c>
    </row>
    <row r="17" spans="1:7">
      <c r="A17" s="65" t="s">
        <v>192</v>
      </c>
      <c r="B17" s="65" t="s">
        <v>193</v>
      </c>
      <c r="C17" s="2" t="s">
        <v>66</v>
      </c>
      <c r="D17" s="2">
        <v>70</v>
      </c>
      <c r="E17" s="2">
        <v>70</v>
      </c>
      <c r="F17" s="2">
        <v>82</v>
      </c>
      <c r="G17" s="8" t="s">
        <v>163</v>
      </c>
    </row>
    <row r="18" spans="1:7">
      <c r="A18" s="65"/>
      <c r="B18" s="65"/>
      <c r="C18" s="2" t="s">
        <v>194</v>
      </c>
      <c r="D18" s="2">
        <v>664</v>
      </c>
      <c r="E18" s="2">
        <v>664</v>
      </c>
      <c r="F18" s="2">
        <v>82</v>
      </c>
      <c r="G18" s="8" t="s">
        <v>163</v>
      </c>
    </row>
    <row r="19" spans="1:7">
      <c r="A19" s="65"/>
      <c r="B19" s="65"/>
      <c r="C19" s="2" t="s">
        <v>68</v>
      </c>
      <c r="D19" s="2">
        <v>70</v>
      </c>
      <c r="E19" s="2" t="s">
        <v>78</v>
      </c>
      <c r="F19" s="2">
        <v>82</v>
      </c>
      <c r="G19" s="8" t="s">
        <v>163</v>
      </c>
    </row>
    <row r="20" spans="1:7">
      <c r="A20" s="65" t="s">
        <v>195</v>
      </c>
      <c r="B20" s="4" t="s">
        <v>73</v>
      </c>
      <c r="C20" s="2" t="s">
        <v>75</v>
      </c>
      <c r="D20" s="2">
        <v>60</v>
      </c>
      <c r="E20" s="2">
        <v>60</v>
      </c>
      <c r="F20" s="2">
        <v>60</v>
      </c>
      <c r="G20" s="8" t="s">
        <v>162</v>
      </c>
    </row>
    <row r="21" spans="1:7">
      <c r="A21" s="65"/>
      <c r="B21" s="4" t="s">
        <v>74</v>
      </c>
      <c r="C21" s="2" t="s">
        <v>76</v>
      </c>
      <c r="D21" s="2">
        <v>170</v>
      </c>
      <c r="E21" s="2" t="s">
        <v>78</v>
      </c>
      <c r="F21" s="2">
        <v>120</v>
      </c>
      <c r="G21" s="8" t="s">
        <v>162</v>
      </c>
    </row>
    <row r="22" spans="1:7">
      <c r="C22" s="1"/>
      <c r="D22" s="1"/>
      <c r="E22" s="1"/>
      <c r="F22" s="1"/>
    </row>
    <row r="23" spans="1:7">
      <c r="A23" s="6" t="s">
        <v>137</v>
      </c>
    </row>
    <row r="24" spans="1:7">
      <c r="A24" s="66" t="s">
        <v>100</v>
      </c>
      <c r="B24" s="66"/>
      <c r="C24" s="5" t="s">
        <v>101</v>
      </c>
      <c r="D24" s="11" t="s">
        <v>102</v>
      </c>
      <c r="E24" s="11" t="s">
        <v>103</v>
      </c>
    </row>
    <row r="25" spans="1:7">
      <c r="A25" s="65" t="s">
        <v>142</v>
      </c>
      <c r="B25" s="65"/>
      <c r="C25" s="10" t="s">
        <v>138</v>
      </c>
      <c r="D25" s="3">
        <v>0</v>
      </c>
      <c r="E25" s="3" t="s">
        <v>104</v>
      </c>
    </row>
    <row r="26" spans="1:7">
      <c r="A26" s="65"/>
      <c r="B26" s="65"/>
      <c r="C26" s="10" t="s">
        <v>67</v>
      </c>
      <c r="D26" s="3">
        <v>-10</v>
      </c>
      <c r="E26" s="3" t="s">
        <v>104</v>
      </c>
    </row>
    <row r="27" spans="1:7">
      <c r="A27" s="65"/>
      <c r="B27" s="65"/>
      <c r="C27" s="10" t="s">
        <v>68</v>
      </c>
      <c r="D27" s="3">
        <v>-3</v>
      </c>
      <c r="E27" s="3" t="s">
        <v>104</v>
      </c>
    </row>
    <row r="28" spans="1:7">
      <c r="A28" s="65" t="s">
        <v>96</v>
      </c>
      <c r="B28" s="65"/>
      <c r="C28" s="10" t="s">
        <v>139</v>
      </c>
      <c r="D28" s="3">
        <v>-10</v>
      </c>
      <c r="E28" s="3" t="s">
        <v>104</v>
      </c>
    </row>
    <row r="29" spans="1:7">
      <c r="A29" s="65"/>
      <c r="B29" s="65"/>
      <c r="C29" s="10" t="s">
        <v>140</v>
      </c>
      <c r="D29" s="3">
        <v>-15</v>
      </c>
      <c r="E29" s="3" t="s">
        <v>104</v>
      </c>
    </row>
    <row r="30" spans="1:7">
      <c r="A30" s="65"/>
      <c r="B30" s="65"/>
      <c r="C30" s="10" t="s">
        <v>68</v>
      </c>
      <c r="D30" s="3">
        <v>-10</v>
      </c>
      <c r="E30" s="3" t="s">
        <v>104</v>
      </c>
    </row>
    <row r="31" spans="1:7">
      <c r="A31" s="65" t="s">
        <v>97</v>
      </c>
      <c r="B31" s="65"/>
      <c r="C31" s="10" t="s">
        <v>141</v>
      </c>
      <c r="D31" s="3">
        <v>4</v>
      </c>
      <c r="E31" s="3" t="s">
        <v>104</v>
      </c>
    </row>
    <row r="32" spans="1:7">
      <c r="A32" s="65"/>
      <c r="B32" s="65"/>
      <c r="C32" s="10" t="s">
        <v>194</v>
      </c>
      <c r="D32" s="3">
        <v>4</v>
      </c>
      <c r="E32" s="3" t="s">
        <v>104</v>
      </c>
    </row>
    <row r="33" spans="1:5">
      <c r="A33" s="65"/>
      <c r="B33" s="65"/>
      <c r="C33" s="10" t="s">
        <v>68</v>
      </c>
      <c r="D33" s="3">
        <v>2</v>
      </c>
      <c r="E33" s="3" t="s">
        <v>104</v>
      </c>
    </row>
    <row r="34" spans="1:5">
      <c r="A34" s="65" t="s">
        <v>98</v>
      </c>
      <c r="B34" s="65"/>
      <c r="C34" s="10" t="s">
        <v>69</v>
      </c>
      <c r="D34" s="3">
        <v>0</v>
      </c>
      <c r="E34" s="3" t="s">
        <v>104</v>
      </c>
    </row>
    <row r="35" spans="1:5">
      <c r="A35" s="65"/>
      <c r="B35" s="65"/>
      <c r="C35" s="10" t="s">
        <v>67</v>
      </c>
      <c r="D35" s="3">
        <v>-5</v>
      </c>
      <c r="E35" s="3" t="s">
        <v>104</v>
      </c>
    </row>
    <row r="36" spans="1:5">
      <c r="A36" s="65"/>
      <c r="B36" s="65"/>
      <c r="C36" s="10" t="s">
        <v>68</v>
      </c>
      <c r="D36" s="3">
        <v>0</v>
      </c>
      <c r="E36" s="3" t="s">
        <v>104</v>
      </c>
    </row>
    <row r="37" spans="1:5">
      <c r="A37" s="65" t="s">
        <v>99</v>
      </c>
      <c r="B37" s="65"/>
      <c r="C37" s="10" t="s">
        <v>139</v>
      </c>
      <c r="D37" s="3">
        <v>0</v>
      </c>
      <c r="E37" s="3" t="s">
        <v>104</v>
      </c>
    </row>
    <row r="38" spans="1:5">
      <c r="A38" s="65"/>
      <c r="B38" s="65"/>
      <c r="C38" s="10" t="s">
        <v>67</v>
      </c>
      <c r="D38" s="3">
        <v>-10</v>
      </c>
      <c r="E38" s="3" t="s">
        <v>104</v>
      </c>
    </row>
    <row r="39" spans="1:5">
      <c r="A39" s="65"/>
      <c r="B39" s="65"/>
      <c r="C39" s="10" t="s">
        <v>72</v>
      </c>
      <c r="D39" s="3">
        <v>-5</v>
      </c>
      <c r="E39" s="3" t="s">
        <v>104</v>
      </c>
    </row>
  </sheetData>
  <mergeCells count="22">
    <mergeCell ref="G5:G7"/>
    <mergeCell ref="D6:E6"/>
    <mergeCell ref="D5:F5"/>
    <mergeCell ref="C5:C7"/>
    <mergeCell ref="B5:B7"/>
    <mergeCell ref="F6:F7"/>
    <mergeCell ref="A5:A7"/>
    <mergeCell ref="A34:B36"/>
    <mergeCell ref="A37:B39"/>
    <mergeCell ref="A20:A21"/>
    <mergeCell ref="A24:B24"/>
    <mergeCell ref="A25:B27"/>
    <mergeCell ref="A28:B30"/>
    <mergeCell ref="A31:B33"/>
    <mergeCell ref="A8:A10"/>
    <mergeCell ref="B8:B10"/>
    <mergeCell ref="A11:A13"/>
    <mergeCell ref="A14:A16"/>
    <mergeCell ref="A17:A19"/>
    <mergeCell ref="B17:B19"/>
    <mergeCell ref="B14:B16"/>
    <mergeCell ref="B11:B13"/>
  </mergeCells>
  <phoneticPr fontId="7"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86"/>
  <sheetViews>
    <sheetView workbookViewId="0">
      <selection activeCell="H53" sqref="H53"/>
    </sheetView>
  </sheetViews>
  <sheetFormatPr baseColWidth="10" defaultRowHeight="13"/>
  <cols>
    <col min="7" max="7" width="35.5703125" customWidth="1"/>
  </cols>
  <sheetData>
    <row r="1" spans="1:5">
      <c r="A1" t="s">
        <v>88</v>
      </c>
    </row>
    <row r="2" spans="1:5">
      <c r="A2" t="s">
        <v>89</v>
      </c>
    </row>
    <row r="3" spans="1:5">
      <c r="A3" s="7" t="s">
        <v>90</v>
      </c>
    </row>
    <row r="4" spans="1:5">
      <c r="A4" s="6" t="s">
        <v>187</v>
      </c>
    </row>
    <row r="5" spans="1:5">
      <c r="A5" t="s">
        <v>182</v>
      </c>
      <c r="B5" t="s">
        <v>188</v>
      </c>
      <c r="C5" t="s">
        <v>191</v>
      </c>
      <c r="D5" t="s">
        <v>189</v>
      </c>
      <c r="E5" t="s">
        <v>190</v>
      </c>
    </row>
    <row r="6" spans="1:5">
      <c r="A6" s="22">
        <v>40</v>
      </c>
      <c r="B6" s="23">
        <f t="shared" ref="B6:B37" si="0">IF(A6&lt;42,11.45+0.953*A6, IF(A6&gt;71, 65, 71.662-1.164*A6+0.018*A6*A6-0.00004088*A6*A6*A6))</f>
        <v>49.569999999999993</v>
      </c>
      <c r="C6">
        <f t="shared" ref="C6:C37" si="1">IF(A6&lt;44,17.322+0.94*A6, IF(A6&gt;77, 75, 96.725-1.992*A6+0.0302*A6*A6-0.0001043*A6*A6*A6))</f>
        <v>54.921999999999997</v>
      </c>
      <c r="D6" s="24">
        <f t="shared" ref="D6:D37" si="2">B6+5</f>
        <v>54.569999999999993</v>
      </c>
      <c r="E6">
        <f t="shared" ref="E6:E37" si="3">C6+5</f>
        <v>59.921999999999997</v>
      </c>
    </row>
    <row r="7" spans="1:5">
      <c r="A7" s="22">
        <v>40.5</v>
      </c>
      <c r="B7" s="23">
        <f t="shared" si="0"/>
        <v>50.046499999999995</v>
      </c>
      <c r="C7">
        <f t="shared" si="1"/>
        <v>55.391999999999996</v>
      </c>
      <c r="D7" s="24">
        <f t="shared" si="2"/>
        <v>55.046499999999995</v>
      </c>
      <c r="E7">
        <f t="shared" si="3"/>
        <v>60.391999999999996</v>
      </c>
    </row>
    <row r="8" spans="1:5">
      <c r="A8" s="22">
        <v>41</v>
      </c>
      <c r="B8" s="23">
        <f t="shared" si="0"/>
        <v>50.522999999999996</v>
      </c>
      <c r="C8">
        <f t="shared" si="1"/>
        <v>55.861999999999995</v>
      </c>
      <c r="D8" s="24">
        <f t="shared" si="2"/>
        <v>55.522999999999996</v>
      </c>
      <c r="E8">
        <f t="shared" si="3"/>
        <v>60.861999999999995</v>
      </c>
    </row>
    <row r="9" spans="1:5">
      <c r="A9" s="22">
        <v>41.5</v>
      </c>
      <c r="B9" s="23">
        <f t="shared" si="0"/>
        <v>50.999499999999998</v>
      </c>
      <c r="C9">
        <f t="shared" si="1"/>
        <v>56.331999999999994</v>
      </c>
      <c r="D9" s="24">
        <f t="shared" si="2"/>
        <v>55.999499999999998</v>
      </c>
      <c r="E9">
        <f t="shared" si="3"/>
        <v>61.331999999999994</v>
      </c>
    </row>
    <row r="10" spans="1:5">
      <c r="A10" s="22">
        <v>42</v>
      </c>
      <c r="B10" s="23">
        <f t="shared" si="0"/>
        <v>51.497282560000002</v>
      </c>
      <c r="C10">
        <f t="shared" si="1"/>
        <v>56.801999999999992</v>
      </c>
      <c r="D10" s="24">
        <f t="shared" si="2"/>
        <v>56.497282560000002</v>
      </c>
      <c r="E10">
        <f t="shared" si="3"/>
        <v>61.801999999999992</v>
      </c>
    </row>
    <row r="11" spans="1:5">
      <c r="A11" s="22">
        <v>42.5</v>
      </c>
      <c r="B11" s="23">
        <f t="shared" si="0"/>
        <v>51.566321250000001</v>
      </c>
      <c r="C11">
        <f t="shared" si="1"/>
        <v>57.271999999999991</v>
      </c>
      <c r="D11" s="24">
        <f t="shared" si="2"/>
        <v>56.566321250000001</v>
      </c>
      <c r="E11">
        <f t="shared" si="3"/>
        <v>62.271999999999991</v>
      </c>
    </row>
    <row r="12" spans="1:5">
      <c r="A12" s="22">
        <v>43</v>
      </c>
      <c r="B12" s="23">
        <f t="shared" si="0"/>
        <v>51.64175384</v>
      </c>
      <c r="C12">
        <f t="shared" si="1"/>
        <v>57.74199999999999</v>
      </c>
      <c r="D12" s="24">
        <f t="shared" si="2"/>
        <v>56.64175384</v>
      </c>
      <c r="E12">
        <f t="shared" si="3"/>
        <v>62.74199999999999</v>
      </c>
    </row>
    <row r="13" spans="1:5">
      <c r="A13" s="22">
        <v>43.5</v>
      </c>
      <c r="B13" s="23">
        <f t="shared" si="0"/>
        <v>51.723549670000011</v>
      </c>
      <c r="C13">
        <f t="shared" si="1"/>
        <v>58.212000000000003</v>
      </c>
      <c r="D13" s="24">
        <f t="shared" si="2"/>
        <v>56.723549670000011</v>
      </c>
      <c r="E13">
        <f t="shared" si="3"/>
        <v>63.212000000000003</v>
      </c>
    </row>
    <row r="14" spans="1:5">
      <c r="A14" s="22">
        <v>44</v>
      </c>
      <c r="B14" s="23">
        <f t="shared" si="0"/>
        <v>51.811678080000007</v>
      </c>
      <c r="C14">
        <f t="shared" si="1"/>
        <v>58.65950879999999</v>
      </c>
      <c r="D14" s="24">
        <f t="shared" si="2"/>
        <v>56.811678080000007</v>
      </c>
      <c r="E14">
        <f t="shared" si="3"/>
        <v>63.65950879999999</v>
      </c>
    </row>
    <row r="15" spans="1:5">
      <c r="A15" s="22">
        <v>44.5</v>
      </c>
      <c r="B15" s="23">
        <f t="shared" si="0"/>
        <v>51.906108410000002</v>
      </c>
      <c r="C15">
        <f t="shared" si="1"/>
        <v>58.693516662499988</v>
      </c>
      <c r="D15" s="24">
        <f t="shared" si="2"/>
        <v>56.906108410000002</v>
      </c>
      <c r="E15">
        <f t="shared" si="3"/>
        <v>63.693516662499988</v>
      </c>
    </row>
    <row r="16" spans="1:5">
      <c r="A16" s="22">
        <v>45</v>
      </c>
      <c r="B16" s="23">
        <f t="shared" si="0"/>
        <v>52.006810000000009</v>
      </c>
      <c r="C16">
        <f t="shared" si="1"/>
        <v>58.735662499999997</v>
      </c>
      <c r="D16" s="24">
        <f t="shared" si="2"/>
        <v>57.006810000000009</v>
      </c>
      <c r="E16">
        <f t="shared" si="3"/>
        <v>63.735662499999997</v>
      </c>
    </row>
    <row r="17" spans="1:5">
      <c r="A17" s="22">
        <v>45.5</v>
      </c>
      <c r="B17" s="23">
        <f t="shared" si="0"/>
        <v>52.113752190000007</v>
      </c>
      <c r="C17">
        <f t="shared" si="1"/>
        <v>58.785868087500006</v>
      </c>
      <c r="D17" s="24">
        <f t="shared" si="2"/>
        <v>57.113752190000007</v>
      </c>
      <c r="E17">
        <f t="shared" si="3"/>
        <v>63.785868087500006</v>
      </c>
    </row>
    <row r="18" spans="1:5">
      <c r="A18" s="22">
        <v>46</v>
      </c>
      <c r="B18" s="23">
        <f t="shared" si="0"/>
        <v>52.22690432000001</v>
      </c>
      <c r="C18">
        <f t="shared" si="1"/>
        <v>58.844055199999985</v>
      </c>
      <c r="D18" s="24">
        <f t="shared" si="2"/>
        <v>57.22690432000001</v>
      </c>
      <c r="E18">
        <f t="shared" si="3"/>
        <v>63.844055199999985</v>
      </c>
    </row>
    <row r="19" spans="1:5">
      <c r="A19" s="22">
        <v>46.5</v>
      </c>
      <c r="B19" s="23">
        <f t="shared" si="0"/>
        <v>52.346235730000004</v>
      </c>
      <c r="C19">
        <f t="shared" si="1"/>
        <v>58.910145612500003</v>
      </c>
      <c r="D19" s="24">
        <f t="shared" si="2"/>
        <v>57.346235730000004</v>
      </c>
      <c r="E19">
        <f t="shared" si="3"/>
        <v>63.910145612500003</v>
      </c>
    </row>
    <row r="20" spans="1:5">
      <c r="A20" s="22">
        <v>47</v>
      </c>
      <c r="B20" s="23">
        <f t="shared" si="0"/>
        <v>52.471715760000009</v>
      </c>
      <c r="C20">
        <f t="shared" si="1"/>
        <v>58.984061099999991</v>
      </c>
      <c r="D20" s="24">
        <f t="shared" si="2"/>
        <v>57.471715760000009</v>
      </c>
      <c r="E20">
        <f t="shared" si="3"/>
        <v>63.984061099999991</v>
      </c>
    </row>
    <row r="21" spans="1:5">
      <c r="A21" s="22">
        <v>47.5</v>
      </c>
      <c r="B21" s="23">
        <f t="shared" si="0"/>
        <v>52.603313750000005</v>
      </c>
      <c r="C21">
        <f t="shared" si="1"/>
        <v>59.06572343749999</v>
      </c>
      <c r="D21" s="24">
        <f t="shared" si="2"/>
        <v>57.603313750000005</v>
      </c>
      <c r="E21">
        <f t="shared" si="3"/>
        <v>64.065723437499997</v>
      </c>
    </row>
    <row r="22" spans="1:5">
      <c r="A22" s="22">
        <v>48</v>
      </c>
      <c r="B22" s="23">
        <f t="shared" si="0"/>
        <v>52.740999039999998</v>
      </c>
      <c r="C22">
        <f t="shared" si="1"/>
        <v>59.15505439999999</v>
      </c>
      <c r="D22" s="24">
        <f t="shared" si="2"/>
        <v>57.740999039999998</v>
      </c>
      <c r="E22">
        <f t="shared" si="3"/>
        <v>64.155054399999983</v>
      </c>
    </row>
    <row r="23" spans="1:5">
      <c r="A23" s="22">
        <v>48.5</v>
      </c>
      <c r="B23" s="23">
        <f t="shared" si="0"/>
        <v>52.884740970000003</v>
      </c>
      <c r="C23">
        <f t="shared" si="1"/>
        <v>59.25197576250001</v>
      </c>
      <c r="D23" s="24">
        <f t="shared" si="2"/>
        <v>57.884740970000003</v>
      </c>
      <c r="E23">
        <f t="shared" si="3"/>
        <v>64.25197576250001</v>
      </c>
    </row>
    <row r="24" spans="1:5">
      <c r="A24" s="22">
        <v>49</v>
      </c>
      <c r="B24" s="23">
        <f t="shared" si="0"/>
        <v>53.034508880000004</v>
      </c>
      <c r="C24">
        <f t="shared" si="1"/>
        <v>59.356409299999989</v>
      </c>
      <c r="D24" s="24">
        <f t="shared" si="2"/>
        <v>58.034508880000004</v>
      </c>
      <c r="E24">
        <f t="shared" si="3"/>
        <v>64.356409299999996</v>
      </c>
    </row>
    <row r="25" spans="1:5">
      <c r="A25" s="22">
        <v>49.5</v>
      </c>
      <c r="B25" s="23">
        <f t="shared" si="0"/>
        <v>53.190272110000002</v>
      </c>
      <c r="C25">
        <f t="shared" si="1"/>
        <v>59.468276787499995</v>
      </c>
      <c r="D25" s="24">
        <f t="shared" si="2"/>
        <v>58.190272110000002</v>
      </c>
      <c r="E25">
        <f t="shared" si="3"/>
        <v>64.468276787500002</v>
      </c>
    </row>
    <row r="26" spans="1:5">
      <c r="A26" s="22">
        <v>50</v>
      </c>
      <c r="B26" s="23">
        <f t="shared" si="0"/>
        <v>53.352000000000004</v>
      </c>
      <c r="C26">
        <f t="shared" si="1"/>
        <v>59.587499999999999</v>
      </c>
      <c r="D26" s="24">
        <f t="shared" si="2"/>
        <v>58.352000000000004</v>
      </c>
      <c r="E26">
        <f t="shared" si="3"/>
        <v>64.587500000000006</v>
      </c>
    </row>
    <row r="27" spans="1:5">
      <c r="A27" s="22">
        <v>50.5</v>
      </c>
      <c r="B27" s="23">
        <f t="shared" si="0"/>
        <v>53.519661890000009</v>
      </c>
      <c r="C27">
        <f t="shared" si="1"/>
        <v>59.714000712499988</v>
      </c>
      <c r="D27" s="24">
        <f t="shared" si="2"/>
        <v>58.519661890000009</v>
      </c>
      <c r="E27">
        <f t="shared" si="3"/>
        <v>64.714000712499995</v>
      </c>
    </row>
    <row r="28" spans="1:5">
      <c r="A28" s="22">
        <v>51</v>
      </c>
      <c r="B28" s="23">
        <f t="shared" si="0"/>
        <v>53.693227120000003</v>
      </c>
      <c r="C28">
        <f t="shared" si="1"/>
        <v>59.847700700000004</v>
      </c>
      <c r="D28" s="24">
        <f t="shared" si="2"/>
        <v>58.693227120000003</v>
      </c>
      <c r="E28">
        <f t="shared" si="3"/>
        <v>64.847700700000004</v>
      </c>
    </row>
    <row r="29" spans="1:5">
      <c r="A29" s="22">
        <v>51.5</v>
      </c>
      <c r="B29" s="23">
        <f t="shared" si="0"/>
        <v>53.872665030000007</v>
      </c>
      <c r="C29">
        <f t="shared" si="1"/>
        <v>59.988521737500008</v>
      </c>
      <c r="D29" s="24">
        <f t="shared" si="2"/>
        <v>58.872665030000007</v>
      </c>
      <c r="E29">
        <f t="shared" si="3"/>
        <v>64.988521737500008</v>
      </c>
    </row>
    <row r="30" spans="1:5">
      <c r="A30" s="22">
        <v>52</v>
      </c>
      <c r="B30" s="23">
        <f t="shared" si="0"/>
        <v>54.05794496</v>
      </c>
      <c r="C30">
        <f t="shared" si="1"/>
        <v>60.136385599999983</v>
      </c>
      <c r="D30" s="24">
        <f t="shared" si="2"/>
        <v>59.05794496</v>
      </c>
      <c r="E30">
        <f t="shared" si="3"/>
        <v>65.136385599999983</v>
      </c>
    </row>
    <row r="31" spans="1:5">
      <c r="A31" s="22">
        <v>52.5</v>
      </c>
      <c r="B31" s="23">
        <f t="shared" si="0"/>
        <v>54.249036250000003</v>
      </c>
      <c r="C31">
        <f t="shared" si="1"/>
        <v>60.291214062500011</v>
      </c>
      <c r="D31" s="24">
        <f t="shared" si="2"/>
        <v>59.249036250000003</v>
      </c>
      <c r="E31">
        <f t="shared" si="3"/>
        <v>65.291214062500018</v>
      </c>
    </row>
    <row r="32" spans="1:5">
      <c r="A32" s="22">
        <v>53</v>
      </c>
      <c r="B32" s="23">
        <f t="shared" si="0"/>
        <v>54.445908240000009</v>
      </c>
      <c r="C32">
        <f t="shared" si="1"/>
        <v>60.452928900000003</v>
      </c>
      <c r="D32" s="24">
        <f t="shared" si="2"/>
        <v>59.445908240000009</v>
      </c>
      <c r="E32">
        <f t="shared" si="3"/>
        <v>65.452928900000003</v>
      </c>
    </row>
    <row r="33" spans="1:9">
      <c r="A33" s="22">
        <v>53.5</v>
      </c>
      <c r="B33" s="23">
        <f t="shared" si="0"/>
        <v>54.648530270000009</v>
      </c>
      <c r="C33">
        <f t="shared" si="1"/>
        <v>60.621451887500001</v>
      </c>
      <c r="D33" s="24">
        <f t="shared" si="2"/>
        <v>59.648530270000009</v>
      </c>
      <c r="E33">
        <f t="shared" si="3"/>
        <v>65.621451887500001</v>
      </c>
    </row>
    <row r="34" spans="1:9">
      <c r="A34" s="22">
        <v>54</v>
      </c>
      <c r="B34" s="23">
        <f t="shared" si="0"/>
        <v>54.856871680000012</v>
      </c>
      <c r="C34">
        <f t="shared" si="1"/>
        <v>60.796704799999986</v>
      </c>
      <c r="D34" s="24">
        <f t="shared" si="2"/>
        <v>59.856871680000012</v>
      </c>
      <c r="E34">
        <f t="shared" si="3"/>
        <v>65.796704799999986</v>
      </c>
    </row>
    <row r="35" spans="1:9">
      <c r="A35" s="22">
        <v>54.5</v>
      </c>
      <c r="B35" s="23">
        <f t="shared" si="0"/>
        <v>55.070901810000002</v>
      </c>
      <c r="C35">
        <f t="shared" si="1"/>
        <v>60.978609412500006</v>
      </c>
      <c r="D35" s="24">
        <f t="shared" si="2"/>
        <v>60.070901810000002</v>
      </c>
      <c r="E35">
        <f t="shared" si="3"/>
        <v>65.978609412500006</v>
      </c>
    </row>
    <row r="36" spans="1:9">
      <c r="A36" s="22">
        <v>55</v>
      </c>
      <c r="B36" s="23">
        <f t="shared" si="0"/>
        <v>55.290590000000009</v>
      </c>
      <c r="C36">
        <f t="shared" si="1"/>
        <v>61.167087499999994</v>
      </c>
      <c r="D36" s="24">
        <f t="shared" si="2"/>
        <v>60.290590000000009</v>
      </c>
      <c r="E36">
        <f t="shared" si="3"/>
        <v>66.167087499999994</v>
      </c>
    </row>
    <row r="37" spans="1:9">
      <c r="A37" s="22">
        <v>55.5</v>
      </c>
      <c r="B37" s="23">
        <f t="shared" si="0"/>
        <v>55.515905590000003</v>
      </c>
      <c r="C37">
        <f t="shared" si="1"/>
        <v>61.36206083750001</v>
      </c>
      <c r="D37" s="24">
        <f t="shared" si="2"/>
        <v>60.515905590000003</v>
      </c>
      <c r="E37">
        <f t="shared" si="3"/>
        <v>66.36206083750001</v>
      </c>
    </row>
    <row r="38" spans="1:9">
      <c r="A38" s="22">
        <v>56</v>
      </c>
      <c r="B38" s="23">
        <f t="shared" ref="B38:B69" si="4">IF(A38&lt;42,11.45+0.953*A38, IF(A38&gt;71, 65, 71.662-1.164*A38+0.018*A38*A38-0.00004088*A38*A38*A38))</f>
        <v>55.746817920000012</v>
      </c>
      <c r="C38">
        <f t="shared" ref="C38:C70" si="5">IF(A38&lt;44,17.322+0.94*A38, IF(A38&gt;77, 75, 96.725-1.992*A38+0.0302*A38*A38-0.0001043*A38*A38*A38))</f>
        <v>61.563451200000003</v>
      </c>
      <c r="D38" s="24">
        <f t="shared" ref="D38:D70" si="6">B38+5</f>
        <v>60.746817920000012</v>
      </c>
      <c r="E38">
        <f t="shared" ref="E38:E70" si="7">C38+5</f>
        <v>66.563451200000003</v>
      </c>
    </row>
    <row r="39" spans="1:9">
      <c r="A39" s="22">
        <v>56.5</v>
      </c>
      <c r="B39" s="23">
        <f t="shared" si="4"/>
        <v>55.983296330000009</v>
      </c>
      <c r="C39">
        <f t="shared" si="5"/>
        <v>61.771180362499997</v>
      </c>
      <c r="D39" s="24">
        <f t="shared" si="6"/>
        <v>60.983296330000009</v>
      </c>
      <c r="E39">
        <f t="shared" si="7"/>
        <v>66.77118036249999</v>
      </c>
    </row>
    <row r="40" spans="1:9">
      <c r="A40" s="22">
        <v>57</v>
      </c>
      <c r="B40" s="23">
        <f t="shared" si="4"/>
        <v>56.225310160000006</v>
      </c>
      <c r="C40">
        <f t="shared" si="5"/>
        <v>61.985170099999991</v>
      </c>
      <c r="D40" s="24">
        <f t="shared" si="6"/>
        <v>61.225310160000006</v>
      </c>
      <c r="E40">
        <f t="shared" si="7"/>
        <v>66.985170099999991</v>
      </c>
      <c r="G40" s="31" t="s">
        <v>2</v>
      </c>
    </row>
    <row r="41" spans="1:9">
      <c r="A41" s="22">
        <v>57.5</v>
      </c>
      <c r="B41" s="23">
        <f t="shared" si="4"/>
        <v>56.472828750000019</v>
      </c>
      <c r="C41">
        <f t="shared" si="5"/>
        <v>62.205342187499994</v>
      </c>
      <c r="D41" s="24">
        <f t="shared" si="6"/>
        <v>61.472828750000019</v>
      </c>
      <c r="E41">
        <f t="shared" si="7"/>
        <v>67.205342187499994</v>
      </c>
      <c r="G41" s="32" t="s">
        <v>1</v>
      </c>
    </row>
    <row r="42" spans="1:9">
      <c r="A42" s="22">
        <v>58</v>
      </c>
      <c r="B42" s="23">
        <f t="shared" si="4"/>
        <v>56.725821439999997</v>
      </c>
      <c r="C42">
        <f t="shared" si="5"/>
        <v>62.431618399999991</v>
      </c>
      <c r="D42" s="24">
        <f t="shared" si="6"/>
        <v>61.725821439999997</v>
      </c>
      <c r="E42">
        <f t="shared" si="7"/>
        <v>67.431618399999991</v>
      </c>
      <c r="G42" t="s">
        <v>53</v>
      </c>
      <c r="H42">
        <v>40</v>
      </c>
      <c r="I42" t="s">
        <v>55</v>
      </c>
    </row>
    <row r="43" spans="1:9">
      <c r="A43" s="22">
        <v>58.5</v>
      </c>
      <c r="B43" s="23">
        <f t="shared" si="4"/>
        <v>56.984257570000011</v>
      </c>
      <c r="C43">
        <f t="shared" si="5"/>
        <v>62.663920512500013</v>
      </c>
      <c r="D43" s="24">
        <f t="shared" si="6"/>
        <v>61.984257570000011</v>
      </c>
      <c r="E43">
        <f t="shared" si="7"/>
        <v>67.663920512500013</v>
      </c>
      <c r="G43" t="s">
        <v>54</v>
      </c>
      <c r="H43">
        <v>50</v>
      </c>
    </row>
    <row r="44" spans="1:9">
      <c r="A44" s="22">
        <v>59</v>
      </c>
      <c r="B44" s="23">
        <f t="shared" si="4"/>
        <v>57.24810647999999</v>
      </c>
      <c r="C44">
        <f t="shared" si="5"/>
        <v>62.90217029999998</v>
      </c>
      <c r="D44" s="24">
        <f t="shared" si="6"/>
        <v>62.24810647999999</v>
      </c>
      <c r="E44">
        <f t="shared" si="7"/>
        <v>67.90217029999998</v>
      </c>
      <c r="G44" t="s">
        <v>56</v>
      </c>
      <c r="H44">
        <v>55</v>
      </c>
    </row>
    <row r="45" spans="1:9">
      <c r="A45" s="22">
        <v>59.5</v>
      </c>
      <c r="B45" s="23">
        <f t="shared" si="4"/>
        <v>57.517337510000004</v>
      </c>
      <c r="C45">
        <f t="shared" si="5"/>
        <v>63.146289537500003</v>
      </c>
      <c r="D45" s="24">
        <f t="shared" si="6"/>
        <v>62.517337510000004</v>
      </c>
      <c r="E45">
        <f t="shared" si="7"/>
        <v>68.146289537499996</v>
      </c>
      <c r="G45" t="s">
        <v>58</v>
      </c>
      <c r="H45">
        <v>60</v>
      </c>
    </row>
    <row r="46" spans="1:9">
      <c r="A46" s="22">
        <v>60</v>
      </c>
      <c r="B46" s="23">
        <f t="shared" si="4"/>
        <v>57.791920000000012</v>
      </c>
      <c r="C46">
        <f t="shared" si="5"/>
        <v>63.396199999999993</v>
      </c>
      <c r="D46" s="24">
        <f t="shared" si="6"/>
        <v>62.791920000000012</v>
      </c>
      <c r="E46">
        <f t="shared" si="7"/>
        <v>68.396199999999993</v>
      </c>
      <c r="G46" t="s">
        <v>59</v>
      </c>
      <c r="H46">
        <v>65</v>
      </c>
    </row>
    <row r="47" spans="1:9">
      <c r="A47" s="22">
        <v>60.5</v>
      </c>
      <c r="B47" s="23">
        <f t="shared" si="4"/>
        <v>58.071823290000012</v>
      </c>
      <c r="C47">
        <f t="shared" si="5"/>
        <v>63.651823462499991</v>
      </c>
      <c r="D47" s="24">
        <f t="shared" si="6"/>
        <v>63.071823290000012</v>
      </c>
      <c r="E47">
        <f t="shared" si="7"/>
        <v>68.651823462499991</v>
      </c>
      <c r="G47" t="s">
        <v>60</v>
      </c>
      <c r="H47">
        <v>80</v>
      </c>
    </row>
    <row r="48" spans="1:9">
      <c r="A48" s="22">
        <v>61</v>
      </c>
      <c r="B48" s="23">
        <f t="shared" si="4"/>
        <v>58.357016720000004</v>
      </c>
      <c r="C48">
        <f t="shared" si="5"/>
        <v>63.913081699999992</v>
      </c>
      <c r="D48" s="24">
        <f t="shared" si="6"/>
        <v>63.357016720000004</v>
      </c>
      <c r="E48">
        <f t="shared" si="7"/>
        <v>68.913081699999992</v>
      </c>
      <c r="G48" t="s">
        <v>57</v>
      </c>
      <c r="H48">
        <v>60</v>
      </c>
    </row>
    <row r="49" spans="1:8">
      <c r="A49" s="22">
        <v>61.5</v>
      </c>
      <c r="B49" s="23">
        <f t="shared" si="4"/>
        <v>58.64746963000001</v>
      </c>
      <c r="C49">
        <f t="shared" si="5"/>
        <v>64.179896487500017</v>
      </c>
      <c r="D49" s="24">
        <f t="shared" si="6"/>
        <v>63.64746963000001</v>
      </c>
      <c r="E49">
        <f t="shared" si="7"/>
        <v>69.179896487500017</v>
      </c>
      <c r="G49" t="s">
        <v>61</v>
      </c>
      <c r="H49">
        <v>65</v>
      </c>
    </row>
    <row r="50" spans="1:8">
      <c r="A50" s="22">
        <v>62</v>
      </c>
      <c r="B50" s="23">
        <f t="shared" si="4"/>
        <v>58.943151360000009</v>
      </c>
      <c r="C50">
        <f t="shared" si="5"/>
        <v>64.452189599999997</v>
      </c>
      <c r="D50" s="24">
        <f t="shared" si="6"/>
        <v>63.943151360000009</v>
      </c>
      <c r="E50">
        <f t="shared" si="7"/>
        <v>69.452189599999997</v>
      </c>
      <c r="G50" t="s">
        <v>62</v>
      </c>
      <c r="H50">
        <v>70</v>
      </c>
    </row>
    <row r="51" spans="1:8">
      <c r="A51" s="22">
        <v>62.5</v>
      </c>
      <c r="B51" s="23">
        <f t="shared" si="4"/>
        <v>59.244031250000006</v>
      </c>
      <c r="C51">
        <f t="shared" si="5"/>
        <v>64.729882812500009</v>
      </c>
      <c r="D51" s="24">
        <f t="shared" si="6"/>
        <v>64.244031250000006</v>
      </c>
      <c r="E51">
        <f t="shared" si="7"/>
        <v>69.729882812500009</v>
      </c>
      <c r="G51" t="s">
        <v>0</v>
      </c>
      <c r="H51">
        <v>75</v>
      </c>
    </row>
    <row r="52" spans="1:8">
      <c r="A52" s="22">
        <v>63</v>
      </c>
      <c r="B52" s="23">
        <f t="shared" si="4"/>
        <v>59.550078640000009</v>
      </c>
      <c r="C52">
        <f t="shared" si="5"/>
        <v>65.012897899999999</v>
      </c>
      <c r="D52" s="24">
        <f t="shared" si="6"/>
        <v>64.550078640000009</v>
      </c>
      <c r="E52">
        <f t="shared" si="7"/>
        <v>70.012897899999999</v>
      </c>
    </row>
    <row r="53" spans="1:8">
      <c r="A53" s="22">
        <v>63.5</v>
      </c>
      <c r="B53" s="23">
        <f t="shared" si="4"/>
        <v>59.861262870000004</v>
      </c>
      <c r="C53">
        <f t="shared" si="5"/>
        <v>65.3011566375</v>
      </c>
      <c r="D53" s="24">
        <f t="shared" si="6"/>
        <v>64.861262870000004</v>
      </c>
      <c r="E53">
        <f t="shared" si="7"/>
        <v>70.3011566375</v>
      </c>
      <c r="G53" t="s">
        <v>207</v>
      </c>
      <c r="H53">
        <f>IF(EXACT('Input Parameters'!B14,'Input Parameters'!B54), 40, IF(EXACT('Input Parameters'!B14,'Input Parameters'!B55), 50, IF(EXACT('Input Parameters'!B14,'Input Parameters'!B56), 55, IF(EXACT('Input Parameters'!B14,'Input Parameters'!B57), 60, IF(EXACT('Input Parameters'!B14,'Input Parameters'!B58), 65, IF(EXACT('Input Parameters'!B14,'Input Parameters'!B59), 80, IF(EXACT('Input Parameters'!B14,'Input Parameters'!B60),60,IF(EXACT('Input Parameters'!B14,'Input Parameters'!B61), 65, IF(EXACT('Input Parameters'!B14,'Input Parameters'!B62), 70, 75)))))))))</f>
        <v>55</v>
      </c>
    </row>
    <row r="54" spans="1:8">
      <c r="A54" s="22">
        <v>64</v>
      </c>
      <c r="B54" s="23">
        <f t="shared" si="4"/>
        <v>60.177553280000005</v>
      </c>
      <c r="C54">
        <f t="shared" si="5"/>
        <v>65.594580800000003</v>
      </c>
      <c r="D54" s="24">
        <f t="shared" si="6"/>
        <v>65.177553280000012</v>
      </c>
      <c r="E54">
        <f t="shared" si="7"/>
        <v>70.594580800000003</v>
      </c>
    </row>
    <row r="55" spans="1:8">
      <c r="A55" s="22">
        <v>64.5</v>
      </c>
      <c r="B55" s="23">
        <f t="shared" si="4"/>
        <v>60.498919210000004</v>
      </c>
      <c r="C55">
        <f t="shared" si="5"/>
        <v>65.893092162499983</v>
      </c>
      <c r="D55" s="24">
        <f t="shared" si="6"/>
        <v>65.498919209999997</v>
      </c>
      <c r="E55">
        <f t="shared" si="7"/>
        <v>70.893092162499983</v>
      </c>
    </row>
    <row r="56" spans="1:8">
      <c r="A56" s="22">
        <v>65</v>
      </c>
      <c r="B56" s="23">
        <f t="shared" si="4"/>
        <v>60.825330000000008</v>
      </c>
      <c r="C56">
        <f t="shared" si="5"/>
        <v>66.196612500000001</v>
      </c>
      <c r="D56" s="24">
        <f t="shared" si="6"/>
        <v>65.825330000000008</v>
      </c>
      <c r="E56">
        <f t="shared" si="7"/>
        <v>71.196612500000001</v>
      </c>
    </row>
    <row r="57" spans="1:8">
      <c r="A57" s="22">
        <v>65.5</v>
      </c>
      <c r="B57" s="23">
        <f t="shared" si="4"/>
        <v>61.15675499000001</v>
      </c>
      <c r="C57">
        <f t="shared" si="5"/>
        <v>66.50506358749999</v>
      </c>
      <c r="D57" s="24">
        <f t="shared" si="6"/>
        <v>66.15675499000001</v>
      </c>
      <c r="E57">
        <f t="shared" si="7"/>
        <v>71.50506358749999</v>
      </c>
    </row>
    <row r="58" spans="1:8">
      <c r="A58" s="22">
        <v>66</v>
      </c>
      <c r="B58" s="23">
        <f t="shared" si="4"/>
        <v>61.49316352000001</v>
      </c>
      <c r="C58">
        <f t="shared" si="5"/>
        <v>66.818367199999983</v>
      </c>
      <c r="D58" s="24">
        <f t="shared" si="6"/>
        <v>66.49316352000001</v>
      </c>
      <c r="E58">
        <f t="shared" si="7"/>
        <v>71.818367199999983</v>
      </c>
    </row>
    <row r="59" spans="1:8">
      <c r="A59" s="22">
        <v>66.5</v>
      </c>
      <c r="B59" s="23">
        <f t="shared" si="4"/>
        <v>61.834524929999994</v>
      </c>
      <c r="C59">
        <f t="shared" si="5"/>
        <v>67.136445112500013</v>
      </c>
      <c r="D59" s="24">
        <f t="shared" si="6"/>
        <v>66.834524929999986</v>
      </c>
      <c r="E59">
        <f t="shared" si="7"/>
        <v>72.136445112500013</v>
      </c>
    </row>
    <row r="60" spans="1:8">
      <c r="A60" s="22">
        <v>67</v>
      </c>
      <c r="B60" s="23">
        <f t="shared" si="4"/>
        <v>62.180808560000003</v>
      </c>
      <c r="C60">
        <f t="shared" si="5"/>
        <v>67.459219099999999</v>
      </c>
      <c r="D60" s="24">
        <f t="shared" si="6"/>
        <v>67.180808560000003</v>
      </c>
      <c r="E60">
        <f t="shared" si="7"/>
        <v>72.459219099999999</v>
      </c>
    </row>
    <row r="61" spans="1:8">
      <c r="A61" s="22">
        <v>67.5</v>
      </c>
      <c r="B61" s="23">
        <f t="shared" si="4"/>
        <v>62.531983750000002</v>
      </c>
      <c r="C61">
        <f t="shared" si="5"/>
        <v>67.786610937499972</v>
      </c>
      <c r="D61" s="24">
        <f t="shared" si="6"/>
        <v>67.531983749999995</v>
      </c>
      <c r="E61">
        <f t="shared" si="7"/>
        <v>72.786610937499972</v>
      </c>
    </row>
    <row r="62" spans="1:8">
      <c r="A62" s="22">
        <v>68</v>
      </c>
      <c r="B62" s="23">
        <f t="shared" si="4"/>
        <v>62.888019840000005</v>
      </c>
      <c r="C62">
        <f t="shared" si="5"/>
        <v>68.11854240000001</v>
      </c>
      <c r="D62" s="24">
        <f t="shared" si="6"/>
        <v>67.888019839999998</v>
      </c>
      <c r="E62">
        <f t="shared" si="7"/>
        <v>73.11854240000001</v>
      </c>
    </row>
    <row r="63" spans="1:8">
      <c r="A63" s="22">
        <v>68.5</v>
      </c>
      <c r="B63" s="23">
        <f t="shared" si="4"/>
        <v>63.248886170000006</v>
      </c>
      <c r="C63">
        <f t="shared" si="5"/>
        <v>68.454935262499987</v>
      </c>
      <c r="D63" s="24">
        <f t="shared" si="6"/>
        <v>68.248886170000006</v>
      </c>
      <c r="E63">
        <f t="shared" si="7"/>
        <v>73.454935262499987</v>
      </c>
    </row>
    <row r="64" spans="1:8">
      <c r="A64" s="22">
        <v>69</v>
      </c>
      <c r="B64" s="23">
        <f t="shared" si="4"/>
        <v>63.61455208000001</v>
      </c>
      <c r="C64">
        <f t="shared" si="5"/>
        <v>68.795711299999994</v>
      </c>
      <c r="D64" s="24">
        <f t="shared" si="6"/>
        <v>68.61455208000001</v>
      </c>
      <c r="E64">
        <f t="shared" si="7"/>
        <v>73.795711299999994</v>
      </c>
    </row>
    <row r="65" spans="1:5">
      <c r="A65" s="22">
        <v>69.5</v>
      </c>
      <c r="B65" s="23">
        <f t="shared" si="4"/>
        <v>63.984986910000003</v>
      </c>
      <c r="C65">
        <f t="shared" si="5"/>
        <v>69.140792287500005</v>
      </c>
      <c r="D65" s="24">
        <f t="shared" si="6"/>
        <v>68.984986910000003</v>
      </c>
      <c r="E65">
        <f t="shared" si="7"/>
        <v>74.140792287500005</v>
      </c>
    </row>
    <row r="66" spans="1:5">
      <c r="A66" s="22">
        <v>70</v>
      </c>
      <c r="B66" s="23">
        <f t="shared" si="4"/>
        <v>64.360160000000022</v>
      </c>
      <c r="C66">
        <f t="shared" si="5"/>
        <v>69.490099999999984</v>
      </c>
      <c r="D66" s="24">
        <f t="shared" si="6"/>
        <v>69.360160000000022</v>
      </c>
      <c r="E66">
        <f t="shared" si="7"/>
        <v>74.490099999999984</v>
      </c>
    </row>
    <row r="67" spans="1:5">
      <c r="A67" s="22">
        <v>70.5</v>
      </c>
      <c r="B67" s="23">
        <f t="shared" si="4"/>
        <v>64.740040690000001</v>
      </c>
      <c r="C67">
        <f t="shared" si="5"/>
        <v>69.84355621249999</v>
      </c>
      <c r="D67" s="24">
        <f t="shared" si="6"/>
        <v>69.740040690000001</v>
      </c>
      <c r="E67">
        <f t="shared" si="7"/>
        <v>74.84355621249999</v>
      </c>
    </row>
    <row r="68" spans="1:5">
      <c r="A68" s="22">
        <v>71</v>
      </c>
      <c r="B68" s="23">
        <f t="shared" si="4"/>
        <v>65.124598320000004</v>
      </c>
      <c r="C68">
        <f t="shared" si="5"/>
        <v>70.201082700000015</v>
      </c>
      <c r="D68" s="24">
        <f t="shared" si="6"/>
        <v>70.124598320000004</v>
      </c>
      <c r="E68">
        <f t="shared" si="7"/>
        <v>75.201082700000015</v>
      </c>
    </row>
    <row r="69" spans="1:5">
      <c r="A69" s="22">
        <v>71.5</v>
      </c>
      <c r="B69" s="23">
        <f t="shared" si="4"/>
        <v>65</v>
      </c>
      <c r="C69">
        <f t="shared" si="5"/>
        <v>70.56260123749999</v>
      </c>
      <c r="D69" s="24">
        <f t="shared" si="6"/>
        <v>70</v>
      </c>
      <c r="E69">
        <f t="shared" si="7"/>
        <v>75.56260123749999</v>
      </c>
    </row>
    <row r="70" spans="1:5">
      <c r="A70" s="22">
        <v>72</v>
      </c>
      <c r="B70" s="23">
        <f t="shared" ref="B70:B101" si="8">IF(A70&lt;42,11.45+0.953*A70, IF(A70&gt;71, 65, 71.662-1.164*A70+0.018*A70*A70-0.00004088*A70*A70*A70))</f>
        <v>65</v>
      </c>
      <c r="C70">
        <f t="shared" si="5"/>
        <v>70.928033599999964</v>
      </c>
      <c r="D70" s="24">
        <f t="shared" si="6"/>
        <v>70</v>
      </c>
      <c r="E70">
        <f t="shared" si="7"/>
        <v>75.928033599999964</v>
      </c>
    </row>
    <row r="71" spans="1:5">
      <c r="A71" s="22">
        <v>72.5</v>
      </c>
      <c r="B71" s="23">
        <f t="shared" ref="B71:B86" si="9">IF(A71&lt;42,11.45+0.953*A71, IF(A71&gt;71, 65, 71.662-1.164*A71+0.018*A71*A71-0.00004088*A71*A71*A71))</f>
        <v>65</v>
      </c>
      <c r="C71">
        <f t="shared" ref="C71:C86" si="10">IF(A71&lt;44,17.322+0.94*A71, IF(A71&gt;77, 75, 96.725-1.992*A71+0.0302*A71*A71-0.0001043*A71*A71*A71))</f>
        <v>71.297301562500024</v>
      </c>
      <c r="D71" s="24">
        <f t="shared" ref="D71:D86" si="11">B71+5</f>
        <v>70</v>
      </c>
      <c r="E71">
        <f t="shared" ref="E71:E86" si="12">C71+5</f>
        <v>76.297301562500024</v>
      </c>
    </row>
    <row r="72" spans="1:5">
      <c r="A72" s="22">
        <v>73</v>
      </c>
      <c r="B72" s="23">
        <f t="shared" si="9"/>
        <v>65</v>
      </c>
      <c r="C72">
        <f t="shared" si="10"/>
        <v>71.670326899999992</v>
      </c>
      <c r="D72" s="24">
        <f t="shared" si="11"/>
        <v>70</v>
      </c>
      <c r="E72">
        <f t="shared" si="12"/>
        <v>76.670326899999992</v>
      </c>
    </row>
    <row r="73" spans="1:5">
      <c r="A73" s="22">
        <v>73.5</v>
      </c>
      <c r="B73" s="23">
        <f t="shared" si="9"/>
        <v>65</v>
      </c>
      <c r="C73">
        <f t="shared" si="10"/>
        <v>72.047031387499999</v>
      </c>
      <c r="D73" s="24">
        <f t="shared" si="11"/>
        <v>70</v>
      </c>
      <c r="E73">
        <f t="shared" si="12"/>
        <v>77.047031387499999</v>
      </c>
    </row>
    <row r="74" spans="1:5">
      <c r="A74" s="22">
        <v>74</v>
      </c>
      <c r="B74" s="23">
        <f t="shared" si="9"/>
        <v>65</v>
      </c>
      <c r="C74">
        <f t="shared" si="10"/>
        <v>72.42733680000002</v>
      </c>
      <c r="D74" s="24">
        <f t="shared" si="11"/>
        <v>70</v>
      </c>
      <c r="E74">
        <f t="shared" si="12"/>
        <v>77.42733680000002</v>
      </c>
    </row>
    <row r="75" spans="1:5">
      <c r="A75" s="22">
        <v>74.5</v>
      </c>
      <c r="B75" s="23">
        <f t="shared" si="9"/>
        <v>65</v>
      </c>
      <c r="C75">
        <f t="shared" si="10"/>
        <v>72.811164912500033</v>
      </c>
      <c r="D75" s="24">
        <f t="shared" si="11"/>
        <v>70</v>
      </c>
      <c r="E75">
        <f t="shared" si="12"/>
        <v>77.811164912500033</v>
      </c>
    </row>
    <row r="76" spans="1:5">
      <c r="A76" s="22">
        <v>75</v>
      </c>
      <c r="B76" s="23">
        <f t="shared" si="9"/>
        <v>65</v>
      </c>
      <c r="C76">
        <f t="shared" si="10"/>
        <v>73.198437499999997</v>
      </c>
      <c r="D76" s="24">
        <f t="shared" si="11"/>
        <v>70</v>
      </c>
      <c r="E76">
        <f t="shared" si="12"/>
        <v>78.198437499999997</v>
      </c>
    </row>
    <row r="77" spans="1:5">
      <c r="A77" s="22">
        <v>75.5</v>
      </c>
      <c r="B77" s="23">
        <f t="shared" si="9"/>
        <v>65</v>
      </c>
      <c r="C77">
        <f t="shared" si="10"/>
        <v>73.589076337499989</v>
      </c>
      <c r="D77" s="24">
        <f t="shared" si="11"/>
        <v>70</v>
      </c>
      <c r="E77">
        <f t="shared" si="12"/>
        <v>78.589076337499989</v>
      </c>
    </row>
    <row r="78" spans="1:5">
      <c r="A78" s="22">
        <v>76</v>
      </c>
      <c r="B78" s="23">
        <f t="shared" si="9"/>
        <v>65</v>
      </c>
      <c r="C78">
        <f t="shared" si="10"/>
        <v>73.983003199999985</v>
      </c>
      <c r="D78" s="24">
        <f t="shared" si="11"/>
        <v>70</v>
      </c>
      <c r="E78">
        <f t="shared" si="12"/>
        <v>78.983003199999985</v>
      </c>
    </row>
    <row r="79" spans="1:5">
      <c r="A79" s="22">
        <v>76.5</v>
      </c>
      <c r="B79" s="23">
        <f t="shared" si="9"/>
        <v>65</v>
      </c>
      <c r="C79">
        <f t="shared" si="10"/>
        <v>74.380139862499988</v>
      </c>
      <c r="D79" s="24">
        <f t="shared" si="11"/>
        <v>70</v>
      </c>
      <c r="E79">
        <f t="shared" si="12"/>
        <v>79.380139862499988</v>
      </c>
    </row>
    <row r="80" spans="1:5">
      <c r="A80" s="22">
        <v>77</v>
      </c>
      <c r="B80" s="23">
        <f t="shared" si="9"/>
        <v>65</v>
      </c>
      <c r="C80">
        <f t="shared" si="10"/>
        <v>74.780408100000017</v>
      </c>
      <c r="D80" s="24">
        <f t="shared" si="11"/>
        <v>70</v>
      </c>
      <c r="E80">
        <f t="shared" si="12"/>
        <v>79.780408100000017</v>
      </c>
    </row>
    <row r="81" spans="1:5">
      <c r="A81" s="22">
        <v>77.5</v>
      </c>
      <c r="B81" s="23">
        <f t="shared" si="9"/>
        <v>65</v>
      </c>
      <c r="C81">
        <f t="shared" si="10"/>
        <v>75</v>
      </c>
      <c r="D81" s="24">
        <f t="shared" si="11"/>
        <v>70</v>
      </c>
      <c r="E81">
        <f t="shared" si="12"/>
        <v>80</v>
      </c>
    </row>
    <row r="82" spans="1:5">
      <c r="A82" s="22">
        <v>78</v>
      </c>
      <c r="B82" s="23">
        <f t="shared" si="9"/>
        <v>65</v>
      </c>
      <c r="C82">
        <f t="shared" si="10"/>
        <v>75</v>
      </c>
      <c r="D82" s="24">
        <f t="shared" si="11"/>
        <v>70</v>
      </c>
      <c r="E82">
        <f t="shared" si="12"/>
        <v>80</v>
      </c>
    </row>
    <row r="83" spans="1:5">
      <c r="A83" s="22">
        <v>78.5</v>
      </c>
      <c r="B83" s="23">
        <f t="shared" si="9"/>
        <v>65</v>
      </c>
      <c r="C83">
        <f t="shared" si="10"/>
        <v>75</v>
      </c>
      <c r="D83" s="24">
        <f t="shared" si="11"/>
        <v>70</v>
      </c>
      <c r="E83">
        <f t="shared" si="12"/>
        <v>80</v>
      </c>
    </row>
    <row r="84" spans="1:5">
      <c r="A84" s="22">
        <v>79</v>
      </c>
      <c r="B84" s="23">
        <f t="shared" si="9"/>
        <v>65</v>
      </c>
      <c r="C84">
        <f t="shared" si="10"/>
        <v>75</v>
      </c>
      <c r="D84" s="24">
        <f t="shared" si="11"/>
        <v>70</v>
      </c>
      <c r="E84">
        <f t="shared" si="12"/>
        <v>80</v>
      </c>
    </row>
    <row r="85" spans="1:5">
      <c r="A85" s="22">
        <v>79.5</v>
      </c>
      <c r="B85" s="23">
        <f t="shared" si="9"/>
        <v>65</v>
      </c>
      <c r="C85">
        <f t="shared" si="10"/>
        <v>75</v>
      </c>
      <c r="D85" s="24">
        <f t="shared" si="11"/>
        <v>70</v>
      </c>
      <c r="E85">
        <f t="shared" si="12"/>
        <v>80</v>
      </c>
    </row>
    <row r="86" spans="1:5">
      <c r="A86" s="22">
        <v>80</v>
      </c>
      <c r="B86" s="23">
        <f t="shared" si="9"/>
        <v>65</v>
      </c>
      <c r="C86">
        <f t="shared" si="10"/>
        <v>75</v>
      </c>
      <c r="D86" s="24">
        <f t="shared" si="11"/>
        <v>70</v>
      </c>
      <c r="E86">
        <f t="shared" si="12"/>
        <v>80</v>
      </c>
    </row>
  </sheetData>
  <phoneticPr fontId="7"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84"/>
  <sheetViews>
    <sheetView workbookViewId="0">
      <selection activeCell="G4" sqref="G4"/>
    </sheetView>
  </sheetViews>
  <sheetFormatPr baseColWidth="10" defaultRowHeight="13"/>
  <sheetData>
    <row r="1" spans="1:7">
      <c r="A1" t="s">
        <v>128</v>
      </c>
      <c r="B1" t="s">
        <v>129</v>
      </c>
      <c r="C1" t="s">
        <v>130</v>
      </c>
      <c r="D1" t="s">
        <v>131</v>
      </c>
      <c r="E1" t="s">
        <v>132</v>
      </c>
      <c r="F1" t="s">
        <v>133</v>
      </c>
      <c r="G1" t="s">
        <v>134</v>
      </c>
    </row>
    <row r="2" spans="1:7">
      <c r="A2" s="26">
        <f>'FRA Noise Impact Criteria'!A6</f>
        <v>40</v>
      </c>
      <c r="B2" s="26">
        <f>IF(EXACT('Input Parameters'!B$13,'Input Parameters'!B$53),'FRA Noise Impact Criteria'!D6,'FRA Noise Impact Criteria'!B6)</f>
        <v>49.569999999999993</v>
      </c>
      <c r="C2" s="30">
        <f>IF(EXACT('Input Parameters'!B$13,'Input Parameters'!B$53),'FRA Noise Impact Criteria'!E6,'FRA Noise Impact Criteria'!C6)</f>
        <v>54.921999999999997</v>
      </c>
      <c r="D2">
        <v>45</v>
      </c>
      <c r="E2">
        <v>45</v>
      </c>
      <c r="F2">
        <v>45</v>
      </c>
      <c r="G2">
        <f>'Intermediate Calculations'!B47</f>
        <v>55</v>
      </c>
    </row>
    <row r="3" spans="1:7">
      <c r="A3" s="26">
        <f>'FRA Noise Impact Criteria'!A7</f>
        <v>40.5</v>
      </c>
      <c r="B3" s="26">
        <f>IF(EXACT('Input Parameters'!B$13,'Input Parameters'!B$53),'FRA Noise Impact Criteria'!D7,'FRA Noise Impact Criteria'!B7)</f>
        <v>50.046499999999995</v>
      </c>
      <c r="C3" s="30">
        <f>IF(EXACT('Input Parameters'!B$13,'Input Parameters'!B$53),'FRA Noise Impact Criteria'!E7,'FRA Noise Impact Criteria'!C7)</f>
        <v>55.391999999999996</v>
      </c>
      <c r="D3" s="25">
        <f>B12-5</f>
        <v>47.006810000000009</v>
      </c>
      <c r="E3">
        <f>0.5*(B12+C12)+1</f>
        <v>56.371236250000003</v>
      </c>
      <c r="F3" s="30">
        <f>C12+5</f>
        <v>63.735662499999997</v>
      </c>
      <c r="G3">
        <f>'Intermediate Calculations'!B48</f>
        <v>60.26955091194835</v>
      </c>
    </row>
    <row r="4" spans="1:7">
      <c r="A4" s="26">
        <f>'FRA Noise Impact Criteria'!A8</f>
        <v>41</v>
      </c>
      <c r="B4" s="26">
        <f>IF(EXACT('Input Parameters'!B$13,'Input Parameters'!B$53),'FRA Noise Impact Criteria'!D8,'FRA Noise Impact Criteria'!B8)</f>
        <v>50.522999999999996</v>
      </c>
      <c r="C4" s="30">
        <f>IF(EXACT('Input Parameters'!B$13,'Input Parameters'!B$53),'FRA Noise Impact Criteria'!E8,'FRA Noise Impact Criteria'!C8)</f>
        <v>55.861999999999995</v>
      </c>
    </row>
    <row r="5" spans="1:7">
      <c r="A5" s="26">
        <f>'FRA Noise Impact Criteria'!A9</f>
        <v>41.5</v>
      </c>
      <c r="B5" s="26">
        <f>IF(EXACT('Input Parameters'!B$13,'Input Parameters'!B$53),'FRA Noise Impact Criteria'!D9,'FRA Noise Impact Criteria'!B9)</f>
        <v>50.999499999999998</v>
      </c>
      <c r="C5" s="30">
        <f>IF(EXACT('Input Parameters'!B$13,'Input Parameters'!B$53),'FRA Noise Impact Criteria'!E9,'FRA Noise Impact Criteria'!C9)</f>
        <v>56.331999999999994</v>
      </c>
    </row>
    <row r="6" spans="1:7">
      <c r="A6" s="26">
        <f>'FRA Noise Impact Criteria'!A10</f>
        <v>42</v>
      </c>
      <c r="B6" s="26">
        <f>IF(EXACT('Input Parameters'!B$13,'Input Parameters'!B$53),'FRA Noise Impact Criteria'!D10,'FRA Noise Impact Criteria'!B10)</f>
        <v>51.497282560000002</v>
      </c>
      <c r="C6" s="30">
        <f>IF(EXACT('Input Parameters'!B$13,'Input Parameters'!B$53),'FRA Noise Impact Criteria'!E10,'FRA Noise Impact Criteria'!C10)</f>
        <v>56.801999999999992</v>
      </c>
    </row>
    <row r="7" spans="1:7">
      <c r="A7" s="26">
        <f>'FRA Noise Impact Criteria'!A11</f>
        <v>42.5</v>
      </c>
      <c r="B7" s="26">
        <f>IF(EXACT('Input Parameters'!B$13,'Input Parameters'!B$53),'FRA Noise Impact Criteria'!D11,'FRA Noise Impact Criteria'!B11)</f>
        <v>51.566321250000001</v>
      </c>
      <c r="C7" s="30">
        <f>IF(EXACT('Input Parameters'!B$13,'Input Parameters'!B$53),'FRA Noise Impact Criteria'!E11,'FRA Noise Impact Criteria'!C11)</f>
        <v>57.271999999999991</v>
      </c>
    </row>
    <row r="8" spans="1:7">
      <c r="A8" s="26">
        <f>'FRA Noise Impact Criteria'!A12</f>
        <v>43</v>
      </c>
      <c r="B8" s="26">
        <f>IF(EXACT('Input Parameters'!B$13,'Input Parameters'!B$53),'FRA Noise Impact Criteria'!D12,'FRA Noise Impact Criteria'!B12)</f>
        <v>51.64175384</v>
      </c>
      <c r="C8" s="30">
        <f>IF(EXACT('Input Parameters'!B$13,'Input Parameters'!B$53),'FRA Noise Impact Criteria'!E12,'FRA Noise Impact Criteria'!C12)</f>
        <v>57.74199999999999</v>
      </c>
    </row>
    <row r="9" spans="1:7">
      <c r="A9" s="26">
        <f>'FRA Noise Impact Criteria'!A13</f>
        <v>43.5</v>
      </c>
      <c r="B9" s="26">
        <f>IF(EXACT('Input Parameters'!B$13,'Input Parameters'!B$53),'FRA Noise Impact Criteria'!D13,'FRA Noise Impact Criteria'!B13)</f>
        <v>51.723549670000011</v>
      </c>
      <c r="C9" s="30">
        <f>IF(EXACT('Input Parameters'!B$13,'Input Parameters'!B$53),'FRA Noise Impact Criteria'!E13,'FRA Noise Impact Criteria'!C13)</f>
        <v>58.212000000000003</v>
      </c>
    </row>
    <row r="10" spans="1:7">
      <c r="A10" s="26">
        <f>'FRA Noise Impact Criteria'!A14</f>
        <v>44</v>
      </c>
      <c r="B10" s="26">
        <f>IF(EXACT('Input Parameters'!B$13,'Input Parameters'!B$53),'FRA Noise Impact Criteria'!D14,'FRA Noise Impact Criteria'!B14)</f>
        <v>51.811678080000007</v>
      </c>
      <c r="C10" s="30">
        <f>IF(EXACT('Input Parameters'!B$13,'Input Parameters'!B$53),'FRA Noise Impact Criteria'!E14,'FRA Noise Impact Criteria'!C14)</f>
        <v>58.65950879999999</v>
      </c>
    </row>
    <row r="11" spans="1:7">
      <c r="A11" s="26">
        <f>'FRA Noise Impact Criteria'!A15</f>
        <v>44.5</v>
      </c>
      <c r="B11" s="26">
        <f>IF(EXACT('Input Parameters'!B$13,'Input Parameters'!B$53),'FRA Noise Impact Criteria'!D15,'FRA Noise Impact Criteria'!B15)</f>
        <v>51.906108410000002</v>
      </c>
      <c r="C11" s="30">
        <f>IF(EXACT('Input Parameters'!B$13,'Input Parameters'!B$53),'FRA Noise Impact Criteria'!E15,'FRA Noise Impact Criteria'!C15)</f>
        <v>58.693516662499988</v>
      </c>
    </row>
    <row r="12" spans="1:7">
      <c r="A12" s="26">
        <f>'FRA Noise Impact Criteria'!A16</f>
        <v>45</v>
      </c>
      <c r="B12" s="26">
        <f>IF(EXACT('Input Parameters'!B$13,'Input Parameters'!B$53),'FRA Noise Impact Criteria'!D16,'FRA Noise Impact Criteria'!B16)</f>
        <v>52.006810000000009</v>
      </c>
      <c r="C12" s="30">
        <f>IF(EXACT('Input Parameters'!B$13,'Input Parameters'!B$53),'FRA Noise Impact Criteria'!E16,'FRA Noise Impact Criteria'!C16)</f>
        <v>58.735662499999997</v>
      </c>
    </row>
    <row r="13" spans="1:7">
      <c r="A13" s="26">
        <f>'FRA Noise Impact Criteria'!A17</f>
        <v>45.5</v>
      </c>
      <c r="B13" s="26">
        <f>IF(EXACT('Input Parameters'!B$13,'Input Parameters'!B$53),'FRA Noise Impact Criteria'!D17,'FRA Noise Impact Criteria'!B17)</f>
        <v>52.113752190000007</v>
      </c>
      <c r="C13" s="30">
        <f>IF(EXACT('Input Parameters'!B$13,'Input Parameters'!B$53),'FRA Noise Impact Criteria'!E17,'FRA Noise Impact Criteria'!C17)</f>
        <v>58.785868087500006</v>
      </c>
    </row>
    <row r="14" spans="1:7">
      <c r="A14" s="26">
        <f>'FRA Noise Impact Criteria'!A18</f>
        <v>46</v>
      </c>
      <c r="B14" s="26">
        <f>IF(EXACT('Input Parameters'!B$13,'Input Parameters'!B$53),'FRA Noise Impact Criteria'!D18,'FRA Noise Impact Criteria'!B18)</f>
        <v>52.22690432000001</v>
      </c>
      <c r="C14" s="30">
        <f>IF(EXACT('Input Parameters'!B$13,'Input Parameters'!B$53),'FRA Noise Impact Criteria'!E18,'FRA Noise Impact Criteria'!C18)</f>
        <v>58.844055199999985</v>
      </c>
    </row>
    <row r="15" spans="1:7">
      <c r="A15" s="26">
        <f>'FRA Noise Impact Criteria'!A19</f>
        <v>46.5</v>
      </c>
      <c r="B15" s="26">
        <f>IF(EXACT('Input Parameters'!B$13,'Input Parameters'!B$53),'FRA Noise Impact Criteria'!D19,'FRA Noise Impact Criteria'!B19)</f>
        <v>52.346235730000004</v>
      </c>
      <c r="C15" s="30">
        <f>IF(EXACT('Input Parameters'!B$13,'Input Parameters'!B$53),'FRA Noise Impact Criteria'!E19,'FRA Noise Impact Criteria'!C19)</f>
        <v>58.910145612500003</v>
      </c>
    </row>
    <row r="16" spans="1:7">
      <c r="A16" s="26">
        <f>'FRA Noise Impact Criteria'!A20</f>
        <v>47</v>
      </c>
      <c r="B16" s="26">
        <f>IF(EXACT('Input Parameters'!B$13,'Input Parameters'!B$53),'FRA Noise Impact Criteria'!D20,'FRA Noise Impact Criteria'!B20)</f>
        <v>52.471715760000009</v>
      </c>
      <c r="C16" s="30">
        <f>IF(EXACT('Input Parameters'!B$13,'Input Parameters'!B$53),'FRA Noise Impact Criteria'!E20,'FRA Noise Impact Criteria'!C20)</f>
        <v>58.984061099999991</v>
      </c>
    </row>
    <row r="17" spans="1:3">
      <c r="A17" s="26">
        <f>'FRA Noise Impact Criteria'!A21</f>
        <v>47.5</v>
      </c>
      <c r="B17" s="26">
        <f>IF(EXACT('Input Parameters'!B$13,'Input Parameters'!B$53),'FRA Noise Impact Criteria'!D21,'FRA Noise Impact Criteria'!B21)</f>
        <v>52.603313750000005</v>
      </c>
      <c r="C17" s="30">
        <f>IF(EXACT('Input Parameters'!B$13,'Input Parameters'!B$53),'FRA Noise Impact Criteria'!E21,'FRA Noise Impact Criteria'!C21)</f>
        <v>59.06572343749999</v>
      </c>
    </row>
    <row r="18" spans="1:3">
      <c r="A18" s="26">
        <f>'FRA Noise Impact Criteria'!A22</f>
        <v>48</v>
      </c>
      <c r="B18" s="26">
        <f>IF(EXACT('Input Parameters'!B$13,'Input Parameters'!B$53),'FRA Noise Impact Criteria'!D22,'FRA Noise Impact Criteria'!B22)</f>
        <v>52.740999039999998</v>
      </c>
      <c r="C18" s="30">
        <f>IF(EXACT('Input Parameters'!B$13,'Input Parameters'!B$53),'FRA Noise Impact Criteria'!E22,'FRA Noise Impact Criteria'!C22)</f>
        <v>59.15505439999999</v>
      </c>
    </row>
    <row r="19" spans="1:3">
      <c r="A19" s="26">
        <f>'FRA Noise Impact Criteria'!A23</f>
        <v>48.5</v>
      </c>
      <c r="B19" s="26">
        <f>IF(EXACT('Input Parameters'!B$13,'Input Parameters'!B$53),'FRA Noise Impact Criteria'!D23,'FRA Noise Impact Criteria'!B23)</f>
        <v>52.884740970000003</v>
      </c>
      <c r="C19" s="30">
        <f>IF(EXACT('Input Parameters'!B$13,'Input Parameters'!B$53),'FRA Noise Impact Criteria'!E23,'FRA Noise Impact Criteria'!C23)</f>
        <v>59.25197576250001</v>
      </c>
    </row>
    <row r="20" spans="1:3">
      <c r="A20" s="26">
        <f>'FRA Noise Impact Criteria'!A24</f>
        <v>49</v>
      </c>
      <c r="B20" s="26">
        <f>IF(EXACT('Input Parameters'!B$13,'Input Parameters'!B$53),'FRA Noise Impact Criteria'!D24,'FRA Noise Impact Criteria'!B24)</f>
        <v>53.034508880000004</v>
      </c>
      <c r="C20" s="30">
        <f>IF(EXACT('Input Parameters'!B$13,'Input Parameters'!B$53),'FRA Noise Impact Criteria'!E24,'FRA Noise Impact Criteria'!C24)</f>
        <v>59.356409299999989</v>
      </c>
    </row>
    <row r="21" spans="1:3">
      <c r="A21" s="26">
        <f>'FRA Noise Impact Criteria'!A25</f>
        <v>49.5</v>
      </c>
      <c r="B21" s="26">
        <f>IF(EXACT('Input Parameters'!B$13,'Input Parameters'!B$53),'FRA Noise Impact Criteria'!D25,'FRA Noise Impact Criteria'!B25)</f>
        <v>53.190272110000002</v>
      </c>
      <c r="C21" s="30">
        <f>IF(EXACT('Input Parameters'!B$13,'Input Parameters'!B$53),'FRA Noise Impact Criteria'!E25,'FRA Noise Impact Criteria'!C25)</f>
        <v>59.468276787499995</v>
      </c>
    </row>
    <row r="22" spans="1:3">
      <c r="A22" s="26">
        <f>'FRA Noise Impact Criteria'!A26</f>
        <v>50</v>
      </c>
      <c r="B22" s="26">
        <f>IF(EXACT('Input Parameters'!B$13,'Input Parameters'!B$53),'FRA Noise Impact Criteria'!D26,'FRA Noise Impact Criteria'!B26)</f>
        <v>53.352000000000004</v>
      </c>
      <c r="C22" s="30">
        <f>IF(EXACT('Input Parameters'!B$13,'Input Parameters'!B$53),'FRA Noise Impact Criteria'!E26,'FRA Noise Impact Criteria'!C26)</f>
        <v>59.587499999999999</v>
      </c>
    </row>
    <row r="23" spans="1:3">
      <c r="A23" s="26">
        <f>'FRA Noise Impact Criteria'!A27</f>
        <v>50.5</v>
      </c>
      <c r="B23" s="26">
        <f>IF(EXACT('Input Parameters'!B$13,'Input Parameters'!B$53),'FRA Noise Impact Criteria'!D27,'FRA Noise Impact Criteria'!B27)</f>
        <v>53.519661890000009</v>
      </c>
      <c r="C23" s="30">
        <f>IF(EXACT('Input Parameters'!B$13,'Input Parameters'!B$53),'FRA Noise Impact Criteria'!E27,'FRA Noise Impact Criteria'!C27)</f>
        <v>59.714000712499988</v>
      </c>
    </row>
    <row r="24" spans="1:3">
      <c r="A24" s="26">
        <f>'FRA Noise Impact Criteria'!A28</f>
        <v>51</v>
      </c>
      <c r="B24" s="26">
        <f>IF(EXACT('Input Parameters'!B$13,'Input Parameters'!B$53),'FRA Noise Impact Criteria'!D28,'FRA Noise Impact Criteria'!B28)</f>
        <v>53.693227120000003</v>
      </c>
      <c r="C24" s="30">
        <f>IF(EXACT('Input Parameters'!B$13,'Input Parameters'!B$53),'FRA Noise Impact Criteria'!E28,'FRA Noise Impact Criteria'!C28)</f>
        <v>59.847700700000004</v>
      </c>
    </row>
    <row r="25" spans="1:3">
      <c r="A25" s="26">
        <f>'FRA Noise Impact Criteria'!A29</f>
        <v>51.5</v>
      </c>
      <c r="B25" s="26">
        <f>IF(EXACT('Input Parameters'!B$13,'Input Parameters'!B$53),'FRA Noise Impact Criteria'!D29,'FRA Noise Impact Criteria'!B29)</f>
        <v>53.872665030000007</v>
      </c>
      <c r="C25" s="30">
        <f>IF(EXACT('Input Parameters'!B$13,'Input Parameters'!B$53),'FRA Noise Impact Criteria'!E29,'FRA Noise Impact Criteria'!C29)</f>
        <v>59.988521737500008</v>
      </c>
    </row>
    <row r="26" spans="1:3">
      <c r="A26" s="26">
        <f>'FRA Noise Impact Criteria'!A30</f>
        <v>52</v>
      </c>
      <c r="B26" s="26">
        <f>IF(EXACT('Input Parameters'!B$13,'Input Parameters'!B$53),'FRA Noise Impact Criteria'!D30,'FRA Noise Impact Criteria'!B30)</f>
        <v>54.05794496</v>
      </c>
      <c r="C26" s="30">
        <f>IF(EXACT('Input Parameters'!B$13,'Input Parameters'!B$53),'FRA Noise Impact Criteria'!E30,'FRA Noise Impact Criteria'!C30)</f>
        <v>60.136385599999983</v>
      </c>
    </row>
    <row r="27" spans="1:3">
      <c r="A27" s="26">
        <f>'FRA Noise Impact Criteria'!A31</f>
        <v>52.5</v>
      </c>
      <c r="B27" s="26">
        <f>IF(EXACT('Input Parameters'!B$13,'Input Parameters'!B$53),'FRA Noise Impact Criteria'!D31,'FRA Noise Impact Criteria'!B31)</f>
        <v>54.249036250000003</v>
      </c>
      <c r="C27" s="30">
        <f>IF(EXACT('Input Parameters'!B$13,'Input Parameters'!B$53),'FRA Noise Impact Criteria'!E31,'FRA Noise Impact Criteria'!C31)</f>
        <v>60.291214062500011</v>
      </c>
    </row>
    <row r="28" spans="1:3">
      <c r="A28" s="26">
        <f>'FRA Noise Impact Criteria'!A32</f>
        <v>53</v>
      </c>
      <c r="B28" s="26">
        <f>IF(EXACT('Input Parameters'!B$13,'Input Parameters'!B$53),'FRA Noise Impact Criteria'!D32,'FRA Noise Impact Criteria'!B32)</f>
        <v>54.445908240000009</v>
      </c>
      <c r="C28" s="30">
        <f>IF(EXACT('Input Parameters'!B$13,'Input Parameters'!B$53),'FRA Noise Impact Criteria'!E32,'FRA Noise Impact Criteria'!C32)</f>
        <v>60.452928900000003</v>
      </c>
    </row>
    <row r="29" spans="1:3">
      <c r="A29" s="26">
        <f>'FRA Noise Impact Criteria'!A33</f>
        <v>53.5</v>
      </c>
      <c r="B29" s="26">
        <f>IF(EXACT('Input Parameters'!B$13,'Input Parameters'!B$53),'FRA Noise Impact Criteria'!D33,'FRA Noise Impact Criteria'!B33)</f>
        <v>54.648530270000009</v>
      </c>
      <c r="C29" s="30">
        <f>IF(EXACT('Input Parameters'!B$13,'Input Parameters'!B$53),'FRA Noise Impact Criteria'!E33,'FRA Noise Impact Criteria'!C33)</f>
        <v>60.621451887500001</v>
      </c>
    </row>
    <row r="30" spans="1:3">
      <c r="A30" s="26">
        <f>'FRA Noise Impact Criteria'!A34</f>
        <v>54</v>
      </c>
      <c r="B30" s="26">
        <f>IF(EXACT('Input Parameters'!B$13,'Input Parameters'!B$53),'FRA Noise Impact Criteria'!D34,'FRA Noise Impact Criteria'!B34)</f>
        <v>54.856871680000012</v>
      </c>
      <c r="C30" s="30">
        <f>IF(EXACT('Input Parameters'!B$13,'Input Parameters'!B$53),'FRA Noise Impact Criteria'!E34,'FRA Noise Impact Criteria'!C34)</f>
        <v>60.796704799999986</v>
      </c>
    </row>
    <row r="31" spans="1:3">
      <c r="A31" s="26">
        <f>'FRA Noise Impact Criteria'!A35</f>
        <v>54.5</v>
      </c>
      <c r="B31" s="26">
        <f>IF(EXACT('Input Parameters'!B$13,'Input Parameters'!B$53),'FRA Noise Impact Criteria'!D35,'FRA Noise Impact Criteria'!B35)</f>
        <v>55.070901810000002</v>
      </c>
      <c r="C31" s="30">
        <f>IF(EXACT('Input Parameters'!B$13,'Input Parameters'!B$53),'FRA Noise Impact Criteria'!E35,'FRA Noise Impact Criteria'!C35)</f>
        <v>60.978609412500006</v>
      </c>
    </row>
    <row r="32" spans="1:3">
      <c r="A32" s="26">
        <f>'FRA Noise Impact Criteria'!A36</f>
        <v>55</v>
      </c>
      <c r="B32" s="26">
        <f>IF(EXACT('Input Parameters'!B$13,'Input Parameters'!B$53),'FRA Noise Impact Criteria'!D36,'FRA Noise Impact Criteria'!B36)</f>
        <v>55.290590000000009</v>
      </c>
      <c r="C32" s="30">
        <f>IF(EXACT('Input Parameters'!B$13,'Input Parameters'!B$53),'FRA Noise Impact Criteria'!E36,'FRA Noise Impact Criteria'!C36)</f>
        <v>61.167087499999994</v>
      </c>
    </row>
    <row r="33" spans="1:3">
      <c r="A33" s="26">
        <f>'FRA Noise Impact Criteria'!A37</f>
        <v>55.5</v>
      </c>
      <c r="B33" s="26">
        <f>IF(EXACT('Input Parameters'!B$13,'Input Parameters'!B$53),'FRA Noise Impact Criteria'!D37,'FRA Noise Impact Criteria'!B37)</f>
        <v>55.515905590000003</v>
      </c>
      <c r="C33" s="30">
        <f>IF(EXACT('Input Parameters'!B$13,'Input Parameters'!B$53),'FRA Noise Impact Criteria'!E37,'FRA Noise Impact Criteria'!C37)</f>
        <v>61.36206083750001</v>
      </c>
    </row>
    <row r="34" spans="1:3">
      <c r="A34" s="26">
        <f>'FRA Noise Impact Criteria'!A38</f>
        <v>56</v>
      </c>
      <c r="B34" s="26">
        <f>IF(EXACT('Input Parameters'!B$13,'Input Parameters'!B$53),'FRA Noise Impact Criteria'!D38,'FRA Noise Impact Criteria'!B38)</f>
        <v>55.746817920000012</v>
      </c>
      <c r="C34" s="30">
        <f>IF(EXACT('Input Parameters'!B$13,'Input Parameters'!B$53),'FRA Noise Impact Criteria'!E38,'FRA Noise Impact Criteria'!C38)</f>
        <v>61.563451200000003</v>
      </c>
    </row>
    <row r="35" spans="1:3">
      <c r="A35" s="26">
        <f>'FRA Noise Impact Criteria'!A39</f>
        <v>56.5</v>
      </c>
      <c r="B35" s="26">
        <f>IF(EXACT('Input Parameters'!B$13,'Input Parameters'!B$53),'FRA Noise Impact Criteria'!D39,'FRA Noise Impact Criteria'!B39)</f>
        <v>55.983296330000009</v>
      </c>
      <c r="C35" s="30">
        <f>IF(EXACT('Input Parameters'!B$13,'Input Parameters'!B$53),'FRA Noise Impact Criteria'!E39,'FRA Noise Impact Criteria'!C39)</f>
        <v>61.771180362499997</v>
      </c>
    </row>
    <row r="36" spans="1:3">
      <c r="A36" s="26">
        <f>'FRA Noise Impact Criteria'!A40</f>
        <v>57</v>
      </c>
      <c r="B36" s="26">
        <f>IF(EXACT('Input Parameters'!B$13,'Input Parameters'!B$53),'FRA Noise Impact Criteria'!D40,'FRA Noise Impact Criteria'!B40)</f>
        <v>56.225310160000006</v>
      </c>
      <c r="C36" s="30">
        <f>IF(EXACT('Input Parameters'!B$13,'Input Parameters'!B$53),'FRA Noise Impact Criteria'!E40,'FRA Noise Impact Criteria'!C40)</f>
        <v>61.985170099999991</v>
      </c>
    </row>
    <row r="37" spans="1:3">
      <c r="A37" s="26">
        <f>'FRA Noise Impact Criteria'!A41</f>
        <v>57.5</v>
      </c>
      <c r="B37" s="26">
        <f>IF(EXACT('Input Parameters'!B$13,'Input Parameters'!B$53),'FRA Noise Impact Criteria'!D41,'FRA Noise Impact Criteria'!B41)</f>
        <v>56.472828750000019</v>
      </c>
      <c r="C37" s="30">
        <f>IF(EXACT('Input Parameters'!B$13,'Input Parameters'!B$53),'FRA Noise Impact Criteria'!E41,'FRA Noise Impact Criteria'!C41)</f>
        <v>62.205342187499994</v>
      </c>
    </row>
    <row r="38" spans="1:3">
      <c r="A38" s="26">
        <f>'FRA Noise Impact Criteria'!A42</f>
        <v>58</v>
      </c>
      <c r="B38" s="26">
        <f>IF(EXACT('Input Parameters'!B$13,'Input Parameters'!B$53),'FRA Noise Impact Criteria'!D42,'FRA Noise Impact Criteria'!B42)</f>
        <v>56.725821439999997</v>
      </c>
      <c r="C38" s="30">
        <f>IF(EXACT('Input Parameters'!B$13,'Input Parameters'!B$53),'FRA Noise Impact Criteria'!E42,'FRA Noise Impact Criteria'!C42)</f>
        <v>62.431618399999991</v>
      </c>
    </row>
    <row r="39" spans="1:3">
      <c r="A39" s="26">
        <f>'FRA Noise Impact Criteria'!A43</f>
        <v>58.5</v>
      </c>
      <c r="B39" s="26">
        <f>IF(EXACT('Input Parameters'!B$13,'Input Parameters'!B$53),'FRA Noise Impact Criteria'!D43,'FRA Noise Impact Criteria'!B43)</f>
        <v>56.984257570000011</v>
      </c>
      <c r="C39" s="30">
        <f>IF(EXACT('Input Parameters'!B$13,'Input Parameters'!B$53),'FRA Noise Impact Criteria'!E43,'FRA Noise Impact Criteria'!C43)</f>
        <v>62.663920512500013</v>
      </c>
    </row>
    <row r="40" spans="1:3">
      <c r="A40" s="26">
        <f>'FRA Noise Impact Criteria'!A44</f>
        <v>59</v>
      </c>
      <c r="B40" s="26">
        <f>IF(EXACT('Input Parameters'!B$13,'Input Parameters'!B$53),'FRA Noise Impact Criteria'!D44,'FRA Noise Impact Criteria'!B44)</f>
        <v>57.24810647999999</v>
      </c>
      <c r="C40" s="30">
        <f>IF(EXACT('Input Parameters'!B$13,'Input Parameters'!B$53),'FRA Noise Impact Criteria'!E44,'FRA Noise Impact Criteria'!C44)</f>
        <v>62.90217029999998</v>
      </c>
    </row>
    <row r="41" spans="1:3">
      <c r="A41" s="26">
        <f>'FRA Noise Impact Criteria'!A45</f>
        <v>59.5</v>
      </c>
      <c r="B41" s="26">
        <f>IF(EXACT('Input Parameters'!B$13,'Input Parameters'!B$53),'FRA Noise Impact Criteria'!D45,'FRA Noise Impact Criteria'!B45)</f>
        <v>57.517337510000004</v>
      </c>
      <c r="C41" s="30">
        <f>IF(EXACT('Input Parameters'!B$13,'Input Parameters'!B$53),'FRA Noise Impact Criteria'!E45,'FRA Noise Impact Criteria'!C45)</f>
        <v>63.146289537500003</v>
      </c>
    </row>
    <row r="42" spans="1:3">
      <c r="A42" s="26">
        <f>'FRA Noise Impact Criteria'!A46</f>
        <v>60</v>
      </c>
      <c r="B42" s="26">
        <f>IF(EXACT('Input Parameters'!B$13,'Input Parameters'!B$53),'FRA Noise Impact Criteria'!D46,'FRA Noise Impact Criteria'!B46)</f>
        <v>57.791920000000012</v>
      </c>
      <c r="C42" s="30">
        <f>IF(EXACT('Input Parameters'!B$13,'Input Parameters'!B$53),'FRA Noise Impact Criteria'!E46,'FRA Noise Impact Criteria'!C46)</f>
        <v>63.396199999999993</v>
      </c>
    </row>
    <row r="43" spans="1:3">
      <c r="A43" s="26">
        <f>'FRA Noise Impact Criteria'!A47</f>
        <v>60.5</v>
      </c>
      <c r="B43" s="26">
        <f>IF(EXACT('Input Parameters'!B$13,'Input Parameters'!B$53),'FRA Noise Impact Criteria'!D47,'FRA Noise Impact Criteria'!B47)</f>
        <v>58.071823290000012</v>
      </c>
      <c r="C43" s="30">
        <f>IF(EXACT('Input Parameters'!B$13,'Input Parameters'!B$53),'FRA Noise Impact Criteria'!E47,'FRA Noise Impact Criteria'!C47)</f>
        <v>63.651823462499991</v>
      </c>
    </row>
    <row r="44" spans="1:3">
      <c r="A44" s="26">
        <f>'FRA Noise Impact Criteria'!A48</f>
        <v>61</v>
      </c>
      <c r="B44" s="26">
        <f>IF(EXACT('Input Parameters'!B$13,'Input Parameters'!B$53),'FRA Noise Impact Criteria'!D48,'FRA Noise Impact Criteria'!B48)</f>
        <v>58.357016720000004</v>
      </c>
      <c r="C44" s="30">
        <f>IF(EXACT('Input Parameters'!B$13,'Input Parameters'!B$53),'FRA Noise Impact Criteria'!E48,'FRA Noise Impact Criteria'!C48)</f>
        <v>63.913081699999992</v>
      </c>
    </row>
    <row r="45" spans="1:3">
      <c r="A45" s="26">
        <f>'FRA Noise Impact Criteria'!A49</f>
        <v>61.5</v>
      </c>
      <c r="B45" s="26">
        <f>IF(EXACT('Input Parameters'!B$13,'Input Parameters'!B$53),'FRA Noise Impact Criteria'!D49,'FRA Noise Impact Criteria'!B49)</f>
        <v>58.64746963000001</v>
      </c>
      <c r="C45" s="30">
        <f>IF(EXACT('Input Parameters'!B$13,'Input Parameters'!B$53),'FRA Noise Impact Criteria'!E49,'FRA Noise Impact Criteria'!C49)</f>
        <v>64.179896487500017</v>
      </c>
    </row>
    <row r="46" spans="1:3">
      <c r="A46" s="26">
        <f>'FRA Noise Impact Criteria'!A50</f>
        <v>62</v>
      </c>
      <c r="B46" s="26">
        <f>IF(EXACT('Input Parameters'!B$13,'Input Parameters'!B$53),'FRA Noise Impact Criteria'!D50,'FRA Noise Impact Criteria'!B50)</f>
        <v>58.943151360000009</v>
      </c>
      <c r="C46" s="30">
        <f>IF(EXACT('Input Parameters'!B$13,'Input Parameters'!B$53),'FRA Noise Impact Criteria'!E50,'FRA Noise Impact Criteria'!C50)</f>
        <v>64.452189599999997</v>
      </c>
    </row>
    <row r="47" spans="1:3">
      <c r="A47" s="26">
        <f>'FRA Noise Impact Criteria'!A51</f>
        <v>62.5</v>
      </c>
      <c r="B47" s="26">
        <f>IF(EXACT('Input Parameters'!B$13,'Input Parameters'!B$53),'FRA Noise Impact Criteria'!D51,'FRA Noise Impact Criteria'!B51)</f>
        <v>59.244031250000006</v>
      </c>
      <c r="C47" s="30">
        <f>IF(EXACT('Input Parameters'!B$13,'Input Parameters'!B$53),'FRA Noise Impact Criteria'!E51,'FRA Noise Impact Criteria'!C51)</f>
        <v>64.729882812500009</v>
      </c>
    </row>
    <row r="48" spans="1:3">
      <c r="A48" s="26">
        <f>'FRA Noise Impact Criteria'!A52</f>
        <v>63</v>
      </c>
      <c r="B48" s="26">
        <f>IF(EXACT('Input Parameters'!B$13,'Input Parameters'!B$53),'FRA Noise Impact Criteria'!D52,'FRA Noise Impact Criteria'!B52)</f>
        <v>59.550078640000009</v>
      </c>
      <c r="C48" s="30">
        <f>IF(EXACT('Input Parameters'!B$13,'Input Parameters'!B$53),'FRA Noise Impact Criteria'!E52,'FRA Noise Impact Criteria'!C52)</f>
        <v>65.012897899999999</v>
      </c>
    </row>
    <row r="49" spans="1:3">
      <c r="A49" s="26">
        <f>'FRA Noise Impact Criteria'!A53</f>
        <v>63.5</v>
      </c>
      <c r="B49" s="26">
        <f>IF(EXACT('Input Parameters'!B$13,'Input Parameters'!B$53),'FRA Noise Impact Criteria'!D53,'FRA Noise Impact Criteria'!B53)</f>
        <v>59.861262870000004</v>
      </c>
      <c r="C49" s="30">
        <f>IF(EXACT('Input Parameters'!B$13,'Input Parameters'!B$53),'FRA Noise Impact Criteria'!E53,'FRA Noise Impact Criteria'!C53)</f>
        <v>65.3011566375</v>
      </c>
    </row>
    <row r="50" spans="1:3">
      <c r="A50" s="26">
        <f>'FRA Noise Impact Criteria'!A54</f>
        <v>64</v>
      </c>
      <c r="B50" s="26">
        <f>IF(EXACT('Input Parameters'!B$13,'Input Parameters'!B$53),'FRA Noise Impact Criteria'!D54,'FRA Noise Impact Criteria'!B54)</f>
        <v>60.177553280000005</v>
      </c>
      <c r="C50" s="30">
        <f>IF(EXACT('Input Parameters'!B$13,'Input Parameters'!B$53),'FRA Noise Impact Criteria'!E54,'FRA Noise Impact Criteria'!C54)</f>
        <v>65.594580800000003</v>
      </c>
    </row>
    <row r="51" spans="1:3">
      <c r="A51" s="26">
        <f>'FRA Noise Impact Criteria'!A55</f>
        <v>64.5</v>
      </c>
      <c r="B51" s="26">
        <f>IF(EXACT('Input Parameters'!B$13,'Input Parameters'!B$53),'FRA Noise Impact Criteria'!D55,'FRA Noise Impact Criteria'!B55)</f>
        <v>60.498919210000004</v>
      </c>
      <c r="C51" s="30">
        <f>IF(EXACT('Input Parameters'!B$13,'Input Parameters'!B$53),'FRA Noise Impact Criteria'!E55,'FRA Noise Impact Criteria'!C55)</f>
        <v>65.893092162499983</v>
      </c>
    </row>
    <row r="52" spans="1:3">
      <c r="A52" s="26">
        <f>'FRA Noise Impact Criteria'!A56</f>
        <v>65</v>
      </c>
      <c r="B52" s="26">
        <f>IF(EXACT('Input Parameters'!B$13,'Input Parameters'!B$53),'FRA Noise Impact Criteria'!D56,'FRA Noise Impact Criteria'!B56)</f>
        <v>60.825330000000008</v>
      </c>
      <c r="C52" s="30">
        <f>IF(EXACT('Input Parameters'!B$13,'Input Parameters'!B$53),'FRA Noise Impact Criteria'!E56,'FRA Noise Impact Criteria'!C56)</f>
        <v>66.196612500000001</v>
      </c>
    </row>
    <row r="53" spans="1:3">
      <c r="A53" s="26">
        <f>'FRA Noise Impact Criteria'!A57</f>
        <v>65.5</v>
      </c>
      <c r="B53" s="26">
        <f>IF(EXACT('Input Parameters'!B$13,'Input Parameters'!B$53),'FRA Noise Impact Criteria'!D57,'FRA Noise Impact Criteria'!B57)</f>
        <v>61.15675499000001</v>
      </c>
      <c r="C53" s="30">
        <f>IF(EXACT('Input Parameters'!B$13,'Input Parameters'!B$53),'FRA Noise Impact Criteria'!E57,'FRA Noise Impact Criteria'!C57)</f>
        <v>66.50506358749999</v>
      </c>
    </row>
    <row r="54" spans="1:3">
      <c r="A54" s="26">
        <f>'FRA Noise Impact Criteria'!A58</f>
        <v>66</v>
      </c>
      <c r="B54" s="26">
        <f>IF(EXACT('Input Parameters'!B$13,'Input Parameters'!B$53),'FRA Noise Impact Criteria'!D58,'FRA Noise Impact Criteria'!B58)</f>
        <v>61.49316352000001</v>
      </c>
      <c r="C54" s="30">
        <f>IF(EXACT('Input Parameters'!B$13,'Input Parameters'!B$53),'FRA Noise Impact Criteria'!E58,'FRA Noise Impact Criteria'!C58)</f>
        <v>66.818367199999983</v>
      </c>
    </row>
    <row r="55" spans="1:3">
      <c r="A55" s="26">
        <f>'FRA Noise Impact Criteria'!A59</f>
        <v>66.5</v>
      </c>
      <c r="B55" s="26">
        <f>IF(EXACT('Input Parameters'!B$13,'Input Parameters'!B$53),'FRA Noise Impact Criteria'!D59,'FRA Noise Impact Criteria'!B59)</f>
        <v>61.834524929999994</v>
      </c>
      <c r="C55" s="30">
        <f>IF(EXACT('Input Parameters'!B$13,'Input Parameters'!B$53),'FRA Noise Impact Criteria'!E59,'FRA Noise Impact Criteria'!C59)</f>
        <v>67.136445112500013</v>
      </c>
    </row>
    <row r="56" spans="1:3">
      <c r="A56" s="26">
        <f>'FRA Noise Impact Criteria'!A60</f>
        <v>67</v>
      </c>
      <c r="B56" s="26">
        <f>IF(EXACT('Input Parameters'!B$13,'Input Parameters'!B$53),'FRA Noise Impact Criteria'!D60,'FRA Noise Impact Criteria'!B60)</f>
        <v>62.180808560000003</v>
      </c>
      <c r="C56" s="30">
        <f>IF(EXACT('Input Parameters'!B$13,'Input Parameters'!B$53),'FRA Noise Impact Criteria'!E60,'FRA Noise Impact Criteria'!C60)</f>
        <v>67.459219099999999</v>
      </c>
    </row>
    <row r="57" spans="1:3">
      <c r="A57" s="26">
        <f>'FRA Noise Impact Criteria'!A61</f>
        <v>67.5</v>
      </c>
      <c r="B57" s="26">
        <f>IF(EXACT('Input Parameters'!B$13,'Input Parameters'!B$53),'FRA Noise Impact Criteria'!D61,'FRA Noise Impact Criteria'!B61)</f>
        <v>62.531983750000002</v>
      </c>
      <c r="C57" s="30">
        <f>IF(EXACT('Input Parameters'!B$13,'Input Parameters'!B$53),'FRA Noise Impact Criteria'!E61,'FRA Noise Impact Criteria'!C61)</f>
        <v>67.786610937499972</v>
      </c>
    </row>
    <row r="58" spans="1:3">
      <c r="A58" s="26">
        <f>'FRA Noise Impact Criteria'!A62</f>
        <v>68</v>
      </c>
      <c r="B58" s="26">
        <f>IF(EXACT('Input Parameters'!B$13,'Input Parameters'!B$53),'FRA Noise Impact Criteria'!D62,'FRA Noise Impact Criteria'!B62)</f>
        <v>62.888019840000005</v>
      </c>
      <c r="C58" s="30">
        <f>IF(EXACT('Input Parameters'!B$13,'Input Parameters'!B$53),'FRA Noise Impact Criteria'!E62,'FRA Noise Impact Criteria'!C62)</f>
        <v>68.11854240000001</v>
      </c>
    </row>
    <row r="59" spans="1:3">
      <c r="A59" s="26">
        <f>'FRA Noise Impact Criteria'!A63</f>
        <v>68.5</v>
      </c>
      <c r="B59" s="26">
        <f>IF(EXACT('Input Parameters'!B$13,'Input Parameters'!B$53),'FRA Noise Impact Criteria'!D63,'FRA Noise Impact Criteria'!B63)</f>
        <v>63.248886170000006</v>
      </c>
      <c r="C59" s="30">
        <f>IF(EXACT('Input Parameters'!B$13,'Input Parameters'!B$53),'FRA Noise Impact Criteria'!E63,'FRA Noise Impact Criteria'!C63)</f>
        <v>68.454935262499987</v>
      </c>
    </row>
    <row r="60" spans="1:3">
      <c r="A60" s="26">
        <f>'FRA Noise Impact Criteria'!A64</f>
        <v>69</v>
      </c>
      <c r="B60" s="26">
        <f>IF(EXACT('Input Parameters'!B$13,'Input Parameters'!B$53),'FRA Noise Impact Criteria'!D64,'FRA Noise Impact Criteria'!B64)</f>
        <v>63.61455208000001</v>
      </c>
      <c r="C60" s="30">
        <f>IF(EXACT('Input Parameters'!B$13,'Input Parameters'!B$53),'FRA Noise Impact Criteria'!E64,'FRA Noise Impact Criteria'!C64)</f>
        <v>68.795711299999994</v>
      </c>
    </row>
    <row r="61" spans="1:3">
      <c r="A61" s="26">
        <f>'FRA Noise Impact Criteria'!A65</f>
        <v>69.5</v>
      </c>
      <c r="B61" s="26">
        <f>IF(EXACT('Input Parameters'!B$13,'Input Parameters'!B$53),'FRA Noise Impact Criteria'!D65,'FRA Noise Impact Criteria'!B65)</f>
        <v>63.984986910000003</v>
      </c>
      <c r="C61" s="30">
        <f>IF(EXACT('Input Parameters'!B$13,'Input Parameters'!B$53),'FRA Noise Impact Criteria'!E65,'FRA Noise Impact Criteria'!C65)</f>
        <v>69.140792287500005</v>
      </c>
    </row>
    <row r="62" spans="1:3">
      <c r="A62" s="26">
        <f>'FRA Noise Impact Criteria'!A66</f>
        <v>70</v>
      </c>
      <c r="B62" s="26">
        <f>IF(EXACT('Input Parameters'!B$13,'Input Parameters'!B$53),'FRA Noise Impact Criteria'!D66,'FRA Noise Impact Criteria'!B66)</f>
        <v>64.360160000000022</v>
      </c>
      <c r="C62" s="30">
        <f>IF(EXACT('Input Parameters'!B$13,'Input Parameters'!B$53),'FRA Noise Impact Criteria'!E66,'FRA Noise Impact Criteria'!C66)</f>
        <v>69.490099999999984</v>
      </c>
    </row>
    <row r="63" spans="1:3">
      <c r="A63" s="26">
        <f>'FRA Noise Impact Criteria'!A67</f>
        <v>70.5</v>
      </c>
      <c r="B63" s="26">
        <f>IF(EXACT('Input Parameters'!B$13,'Input Parameters'!B$53),'FRA Noise Impact Criteria'!D67,'FRA Noise Impact Criteria'!B67)</f>
        <v>64.740040690000001</v>
      </c>
      <c r="C63" s="30">
        <f>IF(EXACT('Input Parameters'!B$13,'Input Parameters'!B$53),'FRA Noise Impact Criteria'!E67,'FRA Noise Impact Criteria'!C67)</f>
        <v>69.84355621249999</v>
      </c>
    </row>
    <row r="64" spans="1:3">
      <c r="A64" s="26">
        <f>'FRA Noise Impact Criteria'!A68</f>
        <v>71</v>
      </c>
      <c r="B64" s="26">
        <f>IF(EXACT('Input Parameters'!B$13,'Input Parameters'!B$53),'FRA Noise Impact Criteria'!D68,'FRA Noise Impact Criteria'!B68)</f>
        <v>65.124598320000004</v>
      </c>
      <c r="C64" s="30">
        <f>IF(EXACT('Input Parameters'!B$13,'Input Parameters'!B$53),'FRA Noise Impact Criteria'!E68,'FRA Noise Impact Criteria'!C68)</f>
        <v>70.201082700000015</v>
      </c>
    </row>
    <row r="65" spans="1:3">
      <c r="A65" s="26">
        <f>'FRA Noise Impact Criteria'!A69</f>
        <v>71.5</v>
      </c>
      <c r="B65" s="26">
        <f>IF(EXACT('Input Parameters'!B$13,'Input Parameters'!B$53),'FRA Noise Impact Criteria'!D69,'FRA Noise Impact Criteria'!B69)</f>
        <v>65</v>
      </c>
      <c r="C65" s="30">
        <f>IF(EXACT('Input Parameters'!B$13,'Input Parameters'!B$53),'FRA Noise Impact Criteria'!E69,'FRA Noise Impact Criteria'!C69)</f>
        <v>70.56260123749999</v>
      </c>
    </row>
    <row r="66" spans="1:3">
      <c r="A66" s="26">
        <f>'FRA Noise Impact Criteria'!A70</f>
        <v>72</v>
      </c>
      <c r="B66" s="26">
        <f>IF(EXACT('Input Parameters'!B$13,'Input Parameters'!B$53),'FRA Noise Impact Criteria'!D70,'FRA Noise Impact Criteria'!B70)</f>
        <v>65</v>
      </c>
      <c r="C66" s="30">
        <f>IF(EXACT('Input Parameters'!B$13,'Input Parameters'!B$53),'FRA Noise Impact Criteria'!E70,'FRA Noise Impact Criteria'!C70)</f>
        <v>70.928033599999964</v>
      </c>
    </row>
    <row r="67" spans="1:3">
      <c r="A67" s="26">
        <f>'FRA Noise Impact Criteria'!A71</f>
        <v>72.5</v>
      </c>
      <c r="B67" s="26">
        <f>IF(EXACT('Input Parameters'!B$13,'Input Parameters'!B$53),'FRA Noise Impact Criteria'!D71,'FRA Noise Impact Criteria'!B71)</f>
        <v>65</v>
      </c>
      <c r="C67" s="30">
        <f>IF(EXACT('Input Parameters'!B$13,'Input Parameters'!B$53),'FRA Noise Impact Criteria'!E71,'FRA Noise Impact Criteria'!C71)</f>
        <v>71.297301562500024</v>
      </c>
    </row>
    <row r="68" spans="1:3">
      <c r="A68" s="26">
        <f>'FRA Noise Impact Criteria'!A72</f>
        <v>73</v>
      </c>
      <c r="B68" s="26">
        <f>IF(EXACT('Input Parameters'!B$13,'Input Parameters'!B$53),'FRA Noise Impact Criteria'!D72,'FRA Noise Impact Criteria'!B72)</f>
        <v>65</v>
      </c>
      <c r="C68" s="30">
        <f>IF(EXACT('Input Parameters'!B$13,'Input Parameters'!B$53),'FRA Noise Impact Criteria'!E72,'FRA Noise Impact Criteria'!C72)</f>
        <v>71.670326899999992</v>
      </c>
    </row>
    <row r="69" spans="1:3">
      <c r="A69" s="26">
        <f>'FRA Noise Impact Criteria'!A73</f>
        <v>73.5</v>
      </c>
      <c r="B69" s="26">
        <f>IF(EXACT('Input Parameters'!B$13,'Input Parameters'!B$53),'FRA Noise Impact Criteria'!D73,'FRA Noise Impact Criteria'!B73)</f>
        <v>65</v>
      </c>
      <c r="C69" s="30">
        <f>IF(EXACT('Input Parameters'!B$13,'Input Parameters'!B$53),'FRA Noise Impact Criteria'!E73,'FRA Noise Impact Criteria'!C73)</f>
        <v>72.047031387499999</v>
      </c>
    </row>
    <row r="70" spans="1:3">
      <c r="A70" s="26">
        <f>'FRA Noise Impact Criteria'!A74</f>
        <v>74</v>
      </c>
      <c r="B70" s="26">
        <f>IF(EXACT('Input Parameters'!B$13,'Input Parameters'!B$53),'FRA Noise Impact Criteria'!D74,'FRA Noise Impact Criteria'!B74)</f>
        <v>65</v>
      </c>
      <c r="C70" s="30">
        <f>IF(EXACT('Input Parameters'!B$13,'Input Parameters'!B$53),'FRA Noise Impact Criteria'!E74,'FRA Noise Impact Criteria'!C74)</f>
        <v>72.42733680000002</v>
      </c>
    </row>
    <row r="71" spans="1:3">
      <c r="A71" s="26">
        <f>'FRA Noise Impact Criteria'!A75</f>
        <v>74.5</v>
      </c>
      <c r="B71" s="26">
        <f>IF(EXACT('Input Parameters'!B$13,'Input Parameters'!B$53),'FRA Noise Impact Criteria'!D75,'FRA Noise Impact Criteria'!B75)</f>
        <v>65</v>
      </c>
      <c r="C71" s="30">
        <f>IF(EXACT('Input Parameters'!B$13,'Input Parameters'!B$53),'FRA Noise Impact Criteria'!E75,'FRA Noise Impact Criteria'!C75)</f>
        <v>72.811164912500033</v>
      </c>
    </row>
    <row r="72" spans="1:3">
      <c r="A72" s="26">
        <f>'FRA Noise Impact Criteria'!A76</f>
        <v>75</v>
      </c>
      <c r="B72" s="26">
        <f>IF(EXACT('Input Parameters'!B$13,'Input Parameters'!B$53),'FRA Noise Impact Criteria'!D76,'FRA Noise Impact Criteria'!B76)</f>
        <v>65</v>
      </c>
      <c r="C72" s="30">
        <f>IF(EXACT('Input Parameters'!B$13,'Input Parameters'!B$53),'FRA Noise Impact Criteria'!E76,'FRA Noise Impact Criteria'!C76)</f>
        <v>73.198437499999997</v>
      </c>
    </row>
    <row r="73" spans="1:3">
      <c r="A73" s="26">
        <f>'FRA Noise Impact Criteria'!A77</f>
        <v>75.5</v>
      </c>
      <c r="B73" s="26">
        <f>IF(EXACT('Input Parameters'!B$13,'Input Parameters'!B$53),'FRA Noise Impact Criteria'!D77,'FRA Noise Impact Criteria'!B77)</f>
        <v>65</v>
      </c>
      <c r="C73" s="30">
        <f>IF(EXACT('Input Parameters'!B$13,'Input Parameters'!B$53),'FRA Noise Impact Criteria'!E77,'FRA Noise Impact Criteria'!C77)</f>
        <v>73.589076337499989</v>
      </c>
    </row>
    <row r="74" spans="1:3">
      <c r="A74" s="26">
        <f>'FRA Noise Impact Criteria'!A78</f>
        <v>76</v>
      </c>
      <c r="B74" s="26">
        <f>IF(EXACT('Input Parameters'!B$13,'Input Parameters'!B$53),'FRA Noise Impact Criteria'!D78,'FRA Noise Impact Criteria'!B78)</f>
        <v>65</v>
      </c>
      <c r="C74" s="30">
        <f>IF(EXACT('Input Parameters'!B$13,'Input Parameters'!B$53),'FRA Noise Impact Criteria'!E78,'FRA Noise Impact Criteria'!C78)</f>
        <v>73.983003199999985</v>
      </c>
    </row>
    <row r="75" spans="1:3">
      <c r="A75" s="26">
        <f>'FRA Noise Impact Criteria'!A79</f>
        <v>76.5</v>
      </c>
      <c r="B75" s="26">
        <f>IF(EXACT('Input Parameters'!B$13,'Input Parameters'!B$53),'FRA Noise Impact Criteria'!D79,'FRA Noise Impact Criteria'!B79)</f>
        <v>65</v>
      </c>
      <c r="C75" s="30">
        <f>IF(EXACT('Input Parameters'!B$13,'Input Parameters'!B$53),'FRA Noise Impact Criteria'!E79,'FRA Noise Impact Criteria'!C79)</f>
        <v>74.380139862499988</v>
      </c>
    </row>
    <row r="76" spans="1:3">
      <c r="A76" s="26">
        <f>'FRA Noise Impact Criteria'!A80</f>
        <v>77</v>
      </c>
      <c r="B76" s="26">
        <f>IF(EXACT('Input Parameters'!B$13,'Input Parameters'!B$53),'FRA Noise Impact Criteria'!D80,'FRA Noise Impact Criteria'!B80)</f>
        <v>65</v>
      </c>
      <c r="C76" s="30">
        <f>IF(EXACT('Input Parameters'!B$13,'Input Parameters'!B$53),'FRA Noise Impact Criteria'!E80,'FRA Noise Impact Criteria'!C80)</f>
        <v>74.780408100000017</v>
      </c>
    </row>
    <row r="77" spans="1:3">
      <c r="A77" s="26">
        <f>'FRA Noise Impact Criteria'!A81</f>
        <v>77.5</v>
      </c>
      <c r="B77" s="26">
        <f>IF(EXACT('Input Parameters'!B$13,'Input Parameters'!B$53),'FRA Noise Impact Criteria'!D81,'FRA Noise Impact Criteria'!B81)</f>
        <v>65</v>
      </c>
      <c r="C77" s="30">
        <f>IF(EXACT('Input Parameters'!B$13,'Input Parameters'!B$53),'FRA Noise Impact Criteria'!E81,'FRA Noise Impact Criteria'!C81)</f>
        <v>75</v>
      </c>
    </row>
    <row r="78" spans="1:3">
      <c r="A78" s="26">
        <f>'FRA Noise Impact Criteria'!A82</f>
        <v>78</v>
      </c>
      <c r="B78" s="26">
        <f>IF(EXACT('Input Parameters'!B$13,'Input Parameters'!B$53),'FRA Noise Impact Criteria'!D82,'FRA Noise Impact Criteria'!B82)</f>
        <v>65</v>
      </c>
      <c r="C78" s="30">
        <f>IF(EXACT('Input Parameters'!B$13,'Input Parameters'!B$53),'FRA Noise Impact Criteria'!E82,'FRA Noise Impact Criteria'!C82)</f>
        <v>75</v>
      </c>
    </row>
    <row r="79" spans="1:3">
      <c r="A79" s="26">
        <f>'FRA Noise Impact Criteria'!A83</f>
        <v>78.5</v>
      </c>
      <c r="B79" s="26">
        <f>IF(EXACT('Input Parameters'!B$13,'Input Parameters'!B$53),'FRA Noise Impact Criteria'!D83,'FRA Noise Impact Criteria'!B83)</f>
        <v>65</v>
      </c>
      <c r="C79" s="30">
        <f>IF(EXACT('Input Parameters'!B$13,'Input Parameters'!B$53),'FRA Noise Impact Criteria'!E83,'FRA Noise Impact Criteria'!C83)</f>
        <v>75</v>
      </c>
    </row>
    <row r="80" spans="1:3">
      <c r="A80" s="26">
        <f>'FRA Noise Impact Criteria'!A84</f>
        <v>79</v>
      </c>
      <c r="B80" s="26">
        <f>IF(EXACT('Input Parameters'!B$13,'Input Parameters'!B$53),'FRA Noise Impact Criteria'!D84,'FRA Noise Impact Criteria'!B84)</f>
        <v>65</v>
      </c>
      <c r="C80" s="30">
        <f>IF(EXACT('Input Parameters'!B$13,'Input Parameters'!B$53),'FRA Noise Impact Criteria'!E84,'FRA Noise Impact Criteria'!C84)</f>
        <v>75</v>
      </c>
    </row>
    <row r="81" spans="1:3">
      <c r="A81" s="26">
        <f>'FRA Noise Impact Criteria'!A85</f>
        <v>79.5</v>
      </c>
      <c r="B81" s="26">
        <f>IF(EXACT('Input Parameters'!B$13,'Input Parameters'!B$53),'FRA Noise Impact Criteria'!D85,'FRA Noise Impact Criteria'!B85)</f>
        <v>65</v>
      </c>
      <c r="C81" s="30">
        <f>IF(EXACT('Input Parameters'!B$13,'Input Parameters'!B$53),'FRA Noise Impact Criteria'!E85,'FRA Noise Impact Criteria'!C85)</f>
        <v>75</v>
      </c>
    </row>
    <row r="82" spans="1:3">
      <c r="A82" s="26">
        <f>'FRA Noise Impact Criteria'!A86</f>
        <v>80</v>
      </c>
      <c r="B82" s="26">
        <f>IF(EXACT('Input Parameters'!B$13,'Input Parameters'!B$53),'FRA Noise Impact Criteria'!D86,'FRA Noise Impact Criteria'!B86)</f>
        <v>65</v>
      </c>
      <c r="C82" s="30">
        <f>IF(EXACT('Input Parameters'!B$13,'Input Parameters'!B$53),'FRA Noise Impact Criteria'!E86,'FRA Noise Impact Criteria'!C86)</f>
        <v>75</v>
      </c>
    </row>
    <row r="83" spans="1:3">
      <c r="A83" s="26"/>
    </row>
    <row r="84" spans="1:3">
      <c r="A84" s="26"/>
    </row>
  </sheetData>
  <sheetCalcPr fullCalcOnLoad="1"/>
  <phoneticPr fontId="7"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Input Parameters</vt:lpstr>
      <vt:lpstr>Intermediate Calculations</vt:lpstr>
      <vt:lpstr>FRA Noise Model Parameters</vt:lpstr>
      <vt:lpstr>FRA Noise Impact Criteria</vt:lpstr>
      <vt:lpstr>Plot Data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 Tillier</dc:creator>
  <cp:lastModifiedBy>Clem Tillier</cp:lastModifiedBy>
  <dcterms:created xsi:type="dcterms:W3CDTF">2010-09-21T03:39:41Z</dcterms:created>
  <dcterms:modified xsi:type="dcterms:W3CDTF">2010-09-26T05:31:35Z</dcterms:modified>
</cp:coreProperties>
</file>